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6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1.2018" sheetId="34" r:id="rId4"/>
    <sheet name="на 01.02.2018" sheetId="35" r:id="rId5"/>
    <sheet name="на 01.04.2018" sheetId="37" r:id="rId6"/>
    <sheet name="на 01.01.2020" sheetId="47" r:id="rId7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01.01.2018'!$5:$6</definedName>
    <definedName name="_xlnm.Print_Titles" localSheetId="6">'на 01.01.2020'!$10:$12</definedName>
    <definedName name="_xlnm.Print_Area" localSheetId="2">'Выполнение работ'!$A$1:$Q$81</definedName>
  </definedNames>
  <calcPr calcId="125725"/>
</workbook>
</file>

<file path=xl/calcChain.xml><?xml version="1.0" encoding="utf-8"?>
<calcChain xmlns="http://schemas.openxmlformats.org/spreadsheetml/2006/main">
  <c r="AP99" i="47"/>
  <c r="AJ99"/>
  <c r="AG99"/>
  <c r="AD99"/>
  <c r="AA99"/>
  <c r="X99"/>
  <c r="AP98"/>
  <c r="AM98"/>
  <c r="AL98"/>
  <c r="AJ98"/>
  <c r="AI98"/>
  <c r="AG98"/>
  <c r="AD98"/>
  <c r="AA98"/>
  <c r="AP104"/>
  <c r="AM104"/>
  <c r="AJ104"/>
  <c r="AI104"/>
  <c r="AG104"/>
  <c r="AD104"/>
  <c r="AA104"/>
  <c r="X104"/>
  <c r="U104"/>
  <c r="R104"/>
  <c r="O104"/>
  <c r="L104"/>
  <c r="I104"/>
  <c r="AP103"/>
  <c r="AM103"/>
  <c r="AL103"/>
  <c r="AJ103"/>
  <c r="AI103"/>
  <c r="AG103"/>
  <c r="AF103"/>
  <c r="AD103"/>
  <c r="AC103"/>
  <c r="AA103"/>
  <c r="AB103" s="1"/>
  <c r="Z103"/>
  <c r="X103"/>
  <c r="W103"/>
  <c r="U103"/>
  <c r="T103"/>
  <c r="R103"/>
  <c r="Q103"/>
  <c r="O103"/>
  <c r="N103"/>
  <c r="K103"/>
  <c r="Y139"/>
  <c r="AG123"/>
  <c r="AF123"/>
  <c r="AD123"/>
  <c r="AC123"/>
  <c r="AC40"/>
  <c r="AF40"/>
  <c r="AF109" s="1"/>
  <c r="AP109"/>
  <c r="AO109"/>
  <c r="AM109"/>
  <c r="AL109"/>
  <c r="AJ109"/>
  <c r="AI109"/>
  <c r="AG109"/>
  <c r="AD109"/>
  <c r="AC109"/>
  <c r="AA109"/>
  <c r="X109"/>
  <c r="U109"/>
  <c r="T109"/>
  <c r="R109"/>
  <c r="O109"/>
  <c r="N109"/>
  <c r="L109"/>
  <c r="K109"/>
  <c r="I109"/>
  <c r="H109"/>
  <c r="AO98"/>
  <c r="X98"/>
  <c r="U98"/>
  <c r="R98"/>
  <c r="O98"/>
  <c r="L98"/>
  <c r="AO104"/>
  <c r="AL104"/>
  <c r="AO99"/>
  <c r="AM99"/>
  <c r="U99"/>
  <c r="R99"/>
  <c r="O99"/>
  <c r="L99"/>
  <c r="I99"/>
  <c r="AQ98"/>
  <c r="I98"/>
  <c r="AP100" l="1"/>
  <c r="AP97" s="1"/>
  <c r="AO100"/>
  <c r="AM100"/>
  <c r="AN100" s="1"/>
  <c r="AL100"/>
  <c r="AJ100"/>
  <c r="AI100"/>
  <c r="AG100"/>
  <c r="AG97" s="1"/>
  <c r="AD100"/>
  <c r="AE100" s="1"/>
  <c r="AA100"/>
  <c r="X100"/>
  <c r="Y100" s="1"/>
  <c r="U100"/>
  <c r="R100"/>
  <c r="S100" s="1"/>
  <c r="Q100"/>
  <c r="O100"/>
  <c r="L100"/>
  <c r="K100"/>
  <c r="I100"/>
  <c r="J100" s="1"/>
  <c r="H100"/>
  <c r="F136"/>
  <c r="E136"/>
  <c r="F135"/>
  <c r="E135"/>
  <c r="AQ134"/>
  <c r="AN134"/>
  <c r="AK134"/>
  <c r="AC134"/>
  <c r="AE134" s="1"/>
  <c r="AB134"/>
  <c r="Z134"/>
  <c r="Y134"/>
  <c r="V134"/>
  <c r="S134"/>
  <c r="P134"/>
  <c r="M134"/>
  <c r="K134"/>
  <c r="J134"/>
  <c r="H134"/>
  <c r="F134"/>
  <c r="E134"/>
  <c r="AO133"/>
  <c r="AQ133" s="1"/>
  <c r="AL133"/>
  <c r="AN133" s="1"/>
  <c r="AI133"/>
  <c r="AK133" s="1"/>
  <c r="AF133"/>
  <c r="AH133" s="1"/>
  <c r="AC133"/>
  <c r="AE133" s="1"/>
  <c r="Z133"/>
  <c r="AB133" s="1"/>
  <c r="Y133"/>
  <c r="W133"/>
  <c r="V133"/>
  <c r="T133"/>
  <c r="S133"/>
  <c r="Q133"/>
  <c r="P133"/>
  <c r="N133"/>
  <c r="M133"/>
  <c r="K133"/>
  <c r="F133"/>
  <c r="AP132"/>
  <c r="AM132"/>
  <c r="AN132" s="1"/>
  <c r="AL132"/>
  <c r="AJ132"/>
  <c r="AG132"/>
  <c r="AH132" s="1"/>
  <c r="AF132"/>
  <c r="AD132"/>
  <c r="AA132"/>
  <c r="AB132" s="1"/>
  <c r="Z132"/>
  <c r="X132"/>
  <c r="Y132" s="1"/>
  <c r="W132"/>
  <c r="U132"/>
  <c r="V132" s="1"/>
  <c r="T132"/>
  <c r="R132"/>
  <c r="S132" s="1"/>
  <c r="Q132"/>
  <c r="O132"/>
  <c r="P132" s="1"/>
  <c r="N132"/>
  <c r="L132"/>
  <c r="M132" s="1"/>
  <c r="K132"/>
  <c r="I132"/>
  <c r="J132" s="1"/>
  <c r="H132"/>
  <c r="F132"/>
  <c r="F116"/>
  <c r="E116"/>
  <c r="F115"/>
  <c r="E115"/>
  <c r="AK114"/>
  <c r="AF114"/>
  <c r="AH114" s="1"/>
  <c r="AE114"/>
  <c r="AB114"/>
  <c r="Y114"/>
  <c r="W114"/>
  <c r="V114"/>
  <c r="T114"/>
  <c r="S114"/>
  <c r="Q114"/>
  <c r="P114"/>
  <c r="M114"/>
  <c r="F114"/>
  <c r="E114"/>
  <c r="F113"/>
  <c r="F112" s="1"/>
  <c r="E113"/>
  <c r="AQ112"/>
  <c r="AP112"/>
  <c r="AO112"/>
  <c r="AN112"/>
  <c r="AM112"/>
  <c r="AL112"/>
  <c r="AK112"/>
  <c r="AJ112"/>
  <c r="AI112"/>
  <c r="AG112"/>
  <c r="AF112"/>
  <c r="AH112" s="1"/>
  <c r="AD112"/>
  <c r="AC112"/>
  <c r="AB112"/>
  <c r="AA112"/>
  <c r="Z112"/>
  <c r="Y112"/>
  <c r="X112"/>
  <c r="W112"/>
  <c r="U112"/>
  <c r="T112"/>
  <c r="R112"/>
  <c r="Q112"/>
  <c r="O112"/>
  <c r="N112"/>
  <c r="L112"/>
  <c r="K112"/>
  <c r="I112"/>
  <c r="H112"/>
  <c r="E112"/>
  <c r="AQ121"/>
  <c r="AN121" s="1"/>
  <c r="AK121" s="1"/>
  <c r="AH121" s="1"/>
  <c r="AE121" s="1"/>
  <c r="AB121" s="1"/>
  <c r="Y121" s="1"/>
  <c r="V121" s="1"/>
  <c r="S121" s="1"/>
  <c r="P121" s="1"/>
  <c r="M121" s="1"/>
  <c r="J121" s="1"/>
  <c r="G121" s="1"/>
  <c r="AP121"/>
  <c r="AO121"/>
  <c r="AL121" s="1"/>
  <c r="AI121" s="1"/>
  <c r="AF121" s="1"/>
  <c r="AC121" s="1"/>
  <c r="Z121" s="1"/>
  <c r="W121" s="1"/>
  <c r="T121" s="1"/>
  <c r="Q121" s="1"/>
  <c r="N121" s="1"/>
  <c r="K121" s="1"/>
  <c r="H121" s="1"/>
  <c r="E121" s="1"/>
  <c r="AM121"/>
  <c r="AJ121" s="1"/>
  <c r="AG121" s="1"/>
  <c r="AD121" s="1"/>
  <c r="AA121" s="1"/>
  <c r="X121" s="1"/>
  <c r="U121" s="1"/>
  <c r="R121" s="1"/>
  <c r="O121" s="1"/>
  <c r="L121" s="1"/>
  <c r="I121" s="1"/>
  <c r="F121" s="1"/>
  <c r="AQ120"/>
  <c r="AN120" s="1"/>
  <c r="AK120" s="1"/>
  <c r="AH120" s="1"/>
  <c r="AE120" s="1"/>
  <c r="AB120" s="1"/>
  <c r="Y120" s="1"/>
  <c r="V120" s="1"/>
  <c r="S120" s="1"/>
  <c r="P120" s="1"/>
  <c r="M120" s="1"/>
  <c r="J120" s="1"/>
  <c r="G120" s="1"/>
  <c r="AP120"/>
  <c r="AO120"/>
  <c r="AL120" s="1"/>
  <c r="AI120" s="1"/>
  <c r="AF120" s="1"/>
  <c r="AC120" s="1"/>
  <c r="Z120" s="1"/>
  <c r="W120" s="1"/>
  <c r="T120" s="1"/>
  <c r="Q120" s="1"/>
  <c r="N120" s="1"/>
  <c r="K120" s="1"/>
  <c r="H120" s="1"/>
  <c r="E120" s="1"/>
  <c r="AM120"/>
  <c r="AJ120" s="1"/>
  <c r="AG120" s="1"/>
  <c r="AD120" s="1"/>
  <c r="AA120" s="1"/>
  <c r="X120" s="1"/>
  <c r="U120" s="1"/>
  <c r="R120" s="1"/>
  <c r="O120" s="1"/>
  <c r="L120" s="1"/>
  <c r="I120" s="1"/>
  <c r="F120" s="1"/>
  <c r="AQ119"/>
  <c r="AN119" s="1"/>
  <c r="AK119" s="1"/>
  <c r="AH119" s="1"/>
  <c r="AE119" s="1"/>
  <c r="AB119" s="1"/>
  <c r="Y119" s="1"/>
  <c r="V119" s="1"/>
  <c r="S119" s="1"/>
  <c r="P119" s="1"/>
  <c r="M119" s="1"/>
  <c r="J119" s="1"/>
  <c r="G119" s="1"/>
  <c r="AP119"/>
  <c r="AM119" s="1"/>
  <c r="AO119"/>
  <c r="AQ118"/>
  <c r="AN118" s="1"/>
  <c r="AP118"/>
  <c r="AP117" s="1"/>
  <c r="AO118"/>
  <c r="AL118" s="1"/>
  <c r="AM118"/>
  <c r="AJ118" s="1"/>
  <c r="AQ151"/>
  <c r="AN151" s="1"/>
  <c r="AK151" s="1"/>
  <c r="AH151" s="1"/>
  <c r="AE151" s="1"/>
  <c r="AB151" s="1"/>
  <c r="Y151" s="1"/>
  <c r="V151" s="1"/>
  <c r="S151" s="1"/>
  <c r="P151" s="1"/>
  <c r="M151" s="1"/>
  <c r="J151" s="1"/>
  <c r="G151" s="1"/>
  <c r="AP151"/>
  <c r="AM151" s="1"/>
  <c r="AJ151" s="1"/>
  <c r="AG151" s="1"/>
  <c r="AD151" s="1"/>
  <c r="AA151" s="1"/>
  <c r="X151" s="1"/>
  <c r="U151" s="1"/>
  <c r="R151" s="1"/>
  <c r="O151" s="1"/>
  <c r="L151" s="1"/>
  <c r="I151" s="1"/>
  <c r="F151" s="1"/>
  <c r="AO151"/>
  <c r="AL151"/>
  <c r="AI151" s="1"/>
  <c r="AF151" s="1"/>
  <c r="AC151" s="1"/>
  <c r="Z151" s="1"/>
  <c r="W151" s="1"/>
  <c r="T151" s="1"/>
  <c r="Q151" s="1"/>
  <c r="N151" s="1"/>
  <c r="K151" s="1"/>
  <c r="H151" s="1"/>
  <c r="E151" s="1"/>
  <c r="AQ150"/>
  <c r="AN150" s="1"/>
  <c r="AK150" s="1"/>
  <c r="AH150" s="1"/>
  <c r="AE150" s="1"/>
  <c r="AB150" s="1"/>
  <c r="Y150" s="1"/>
  <c r="V150" s="1"/>
  <c r="S150" s="1"/>
  <c r="P150" s="1"/>
  <c r="M150" s="1"/>
  <c r="J150" s="1"/>
  <c r="G150" s="1"/>
  <c r="AP150"/>
  <c r="AM150" s="1"/>
  <c r="AJ150" s="1"/>
  <c r="AG150" s="1"/>
  <c r="AD150" s="1"/>
  <c r="AA150" s="1"/>
  <c r="X150" s="1"/>
  <c r="U150" s="1"/>
  <c r="R150" s="1"/>
  <c r="O150" s="1"/>
  <c r="L150" s="1"/>
  <c r="I150" s="1"/>
  <c r="F150" s="1"/>
  <c r="AO150"/>
  <c r="AL150"/>
  <c r="AI150" s="1"/>
  <c r="AF150" s="1"/>
  <c r="AC150" s="1"/>
  <c r="Z150" s="1"/>
  <c r="W150" s="1"/>
  <c r="T150" s="1"/>
  <c r="Q150" s="1"/>
  <c r="N150" s="1"/>
  <c r="K150" s="1"/>
  <c r="H150" s="1"/>
  <c r="E150" s="1"/>
  <c r="AQ149"/>
  <c r="AN149" s="1"/>
  <c r="AK149" s="1"/>
  <c r="AP149"/>
  <c r="AM149" s="1"/>
  <c r="AO149"/>
  <c r="AL149"/>
  <c r="AI149" s="1"/>
  <c r="AQ148"/>
  <c r="AN148" s="1"/>
  <c r="AP148"/>
  <c r="AP147" s="1"/>
  <c r="AO148"/>
  <c r="AL148" s="1"/>
  <c r="AM148"/>
  <c r="AJ148" s="1"/>
  <c r="AG148" s="1"/>
  <c r="AD148" s="1"/>
  <c r="AA148" s="1"/>
  <c r="X148" s="1"/>
  <c r="U148" s="1"/>
  <c r="R148" s="1"/>
  <c r="O148" s="1"/>
  <c r="L148" s="1"/>
  <c r="I148" s="1"/>
  <c r="F148" s="1"/>
  <c r="F161"/>
  <c r="E161"/>
  <c r="F160"/>
  <c r="E160"/>
  <c r="F159"/>
  <c r="E159"/>
  <c r="AQ158"/>
  <c r="AQ157" s="1"/>
  <c r="AN158"/>
  <c r="AN157" s="1"/>
  <c r="AK158"/>
  <c r="AK157" s="1"/>
  <c r="AH158"/>
  <c r="AE158"/>
  <c r="AB158"/>
  <c r="Y158"/>
  <c r="Y157" s="1"/>
  <c r="V158"/>
  <c r="S158"/>
  <c r="P158"/>
  <c r="M158"/>
  <c r="F158"/>
  <c r="E158"/>
  <c r="AP157"/>
  <c r="AO157"/>
  <c r="AM157"/>
  <c r="AL157"/>
  <c r="AJ157"/>
  <c r="AI157"/>
  <c r="AG157"/>
  <c r="AF157"/>
  <c r="AD157"/>
  <c r="AC157"/>
  <c r="AA157"/>
  <c r="Z157"/>
  <c r="X157"/>
  <c r="W157"/>
  <c r="U157"/>
  <c r="T157"/>
  <c r="R157"/>
  <c r="Q157"/>
  <c r="O157"/>
  <c r="N157"/>
  <c r="L157"/>
  <c r="K157"/>
  <c r="I157"/>
  <c r="H157"/>
  <c r="F156"/>
  <c r="E156"/>
  <c r="F155"/>
  <c r="E155"/>
  <c r="AQ154"/>
  <c r="AN154"/>
  <c r="AK154"/>
  <c r="AH154"/>
  <c r="AE154"/>
  <c r="AB154"/>
  <c r="Y154"/>
  <c r="V154"/>
  <c r="S154"/>
  <c r="P154"/>
  <c r="M154"/>
  <c r="F154"/>
  <c r="E154"/>
  <c r="AN153"/>
  <c r="F153"/>
  <c r="F152" s="1"/>
  <c r="E153"/>
  <c r="AP152"/>
  <c r="AO152"/>
  <c r="AM152"/>
  <c r="AL152"/>
  <c r="AJ152"/>
  <c r="AI152"/>
  <c r="AG152"/>
  <c r="AF152"/>
  <c r="AD152"/>
  <c r="AC152"/>
  <c r="AA152"/>
  <c r="Z152"/>
  <c r="Y152"/>
  <c r="X152"/>
  <c r="W152"/>
  <c r="U152"/>
  <c r="T152"/>
  <c r="R152"/>
  <c r="Q152"/>
  <c r="O152"/>
  <c r="N152"/>
  <c r="L152"/>
  <c r="K152"/>
  <c r="I152"/>
  <c r="H152"/>
  <c r="F146"/>
  <c r="E146"/>
  <c r="F145"/>
  <c r="E145"/>
  <c r="Y144"/>
  <c r="F144"/>
  <c r="E144"/>
  <c r="Y143"/>
  <c r="F143"/>
  <c r="E143"/>
  <c r="AP142"/>
  <c r="AO142"/>
  <c r="AM142"/>
  <c r="AL142"/>
  <c r="AJ142"/>
  <c r="AI142"/>
  <c r="AG142"/>
  <c r="AF142"/>
  <c r="AD142"/>
  <c r="AC142"/>
  <c r="AA142"/>
  <c r="Z142"/>
  <c r="X142"/>
  <c r="W142"/>
  <c r="U142"/>
  <c r="T142"/>
  <c r="R142"/>
  <c r="Q142"/>
  <c r="O142"/>
  <c r="N142"/>
  <c r="L142"/>
  <c r="K142"/>
  <c r="I142"/>
  <c r="H142"/>
  <c r="F141"/>
  <c r="E141"/>
  <c r="F140"/>
  <c r="E140"/>
  <c r="AE139"/>
  <c r="AB139"/>
  <c r="F139"/>
  <c r="E139"/>
  <c r="AH138"/>
  <c r="AE138"/>
  <c r="AB138"/>
  <c r="Y138"/>
  <c r="F138"/>
  <c r="E138"/>
  <c r="E137" s="1"/>
  <c r="AP137"/>
  <c r="AO137"/>
  <c r="AM137"/>
  <c r="AL137"/>
  <c r="AJ137"/>
  <c r="AI137"/>
  <c r="AG137"/>
  <c r="AF137"/>
  <c r="AD137"/>
  <c r="AC137"/>
  <c r="AA137"/>
  <c r="Z137"/>
  <c r="X137"/>
  <c r="W137"/>
  <c r="U137"/>
  <c r="T137"/>
  <c r="R137"/>
  <c r="Q137"/>
  <c r="O137"/>
  <c r="N137"/>
  <c r="L137"/>
  <c r="K137"/>
  <c r="I137"/>
  <c r="H137"/>
  <c r="F131"/>
  <c r="E131"/>
  <c r="F130"/>
  <c r="E130"/>
  <c r="AQ129"/>
  <c r="AQ127" s="1"/>
  <c r="AN129"/>
  <c r="AN127" s="1"/>
  <c r="AK129"/>
  <c r="AH129"/>
  <c r="AE129"/>
  <c r="AB129"/>
  <c r="Y129"/>
  <c r="Y127" s="1"/>
  <c r="V129"/>
  <c r="S129"/>
  <c r="P129"/>
  <c r="F129"/>
  <c r="E129"/>
  <c r="F128"/>
  <c r="E128"/>
  <c r="AP127"/>
  <c r="AO127"/>
  <c r="AM127"/>
  <c r="AL127"/>
  <c r="AK127"/>
  <c r="AJ127"/>
  <c r="AI127"/>
  <c r="AG127"/>
  <c r="AF127"/>
  <c r="AD127"/>
  <c r="AC127"/>
  <c r="AA127"/>
  <c r="Z127"/>
  <c r="X127"/>
  <c r="W127"/>
  <c r="U127"/>
  <c r="T127"/>
  <c r="R127"/>
  <c r="Q127"/>
  <c r="O127"/>
  <c r="N127"/>
  <c r="L127"/>
  <c r="K127"/>
  <c r="I127"/>
  <c r="H127"/>
  <c r="F126"/>
  <c r="E126"/>
  <c r="F125"/>
  <c r="E125"/>
  <c r="F124"/>
  <c r="E124"/>
  <c r="AK122"/>
  <c r="AH123"/>
  <c r="AE123"/>
  <c r="AB123"/>
  <c r="Y123"/>
  <c r="Y122" s="1"/>
  <c r="F123"/>
  <c r="E123"/>
  <c r="AQ122"/>
  <c r="AP122"/>
  <c r="AO122"/>
  <c r="AN122"/>
  <c r="AM122"/>
  <c r="AL122"/>
  <c r="AJ122"/>
  <c r="AI122"/>
  <c r="AG122"/>
  <c r="AF122"/>
  <c r="AD122"/>
  <c r="AC122"/>
  <c r="AA122"/>
  <c r="Z122"/>
  <c r="X122"/>
  <c r="W122"/>
  <c r="U122"/>
  <c r="T122"/>
  <c r="R122"/>
  <c r="Q122"/>
  <c r="O122"/>
  <c r="N122"/>
  <c r="L122"/>
  <c r="K122"/>
  <c r="I122"/>
  <c r="H122"/>
  <c r="F111"/>
  <c r="E111"/>
  <c r="F110"/>
  <c r="E110"/>
  <c r="AQ109"/>
  <c r="AQ107" s="1"/>
  <c r="AN109"/>
  <c r="AN107" s="1"/>
  <c r="AK109"/>
  <c r="AH109"/>
  <c r="AE109"/>
  <c r="V109"/>
  <c r="P109"/>
  <c r="M109"/>
  <c r="F109"/>
  <c r="F108"/>
  <c r="E108"/>
  <c r="AP107"/>
  <c r="AO107"/>
  <c r="AM107"/>
  <c r="AL107"/>
  <c r="AK107"/>
  <c r="AJ107"/>
  <c r="AI107"/>
  <c r="AG107"/>
  <c r="AF107"/>
  <c r="AD107"/>
  <c r="AC107"/>
  <c r="AE107" s="1"/>
  <c r="AA107"/>
  <c r="X107"/>
  <c r="U107"/>
  <c r="T107"/>
  <c r="R107"/>
  <c r="O107"/>
  <c r="N107"/>
  <c r="L107"/>
  <c r="K107"/>
  <c r="I107"/>
  <c r="H107"/>
  <c r="F107"/>
  <c r="F106"/>
  <c r="E106"/>
  <c r="F105"/>
  <c r="E105"/>
  <c r="AQ104"/>
  <c r="AN104"/>
  <c r="AK104"/>
  <c r="F104"/>
  <c r="AQ103"/>
  <c r="AN103"/>
  <c r="AN102" s="1"/>
  <c r="AK103"/>
  <c r="AK102" s="1"/>
  <c r="AH103"/>
  <c r="AE103"/>
  <c r="Y103"/>
  <c r="V103"/>
  <c r="S103"/>
  <c r="P103"/>
  <c r="M103"/>
  <c r="F103"/>
  <c r="E103"/>
  <c r="AQ102"/>
  <c r="AP102"/>
  <c r="AO102"/>
  <c r="AM102"/>
  <c r="AL102"/>
  <c r="AJ102"/>
  <c r="AI102"/>
  <c r="AG102"/>
  <c r="AD102"/>
  <c r="AA102"/>
  <c r="X102"/>
  <c r="U102"/>
  <c r="R102"/>
  <c r="O102"/>
  <c r="L102"/>
  <c r="I102"/>
  <c r="F101"/>
  <c r="E101"/>
  <c r="AQ100"/>
  <c r="AQ99"/>
  <c r="AK99"/>
  <c r="AE99"/>
  <c r="Y99"/>
  <c r="S99"/>
  <c r="AN98"/>
  <c r="AK98"/>
  <c r="AH98"/>
  <c r="AB98"/>
  <c r="V98"/>
  <c r="F98"/>
  <c r="AO97"/>
  <c r="AI97"/>
  <c r="AD97"/>
  <c r="AA97"/>
  <c r="X97"/>
  <c r="U97"/>
  <c r="L97"/>
  <c r="AP95"/>
  <c r="AO95"/>
  <c r="AP94"/>
  <c r="AO94"/>
  <c r="AM95"/>
  <c r="AL95"/>
  <c r="AM94"/>
  <c r="AL94"/>
  <c r="AJ95"/>
  <c r="AI95"/>
  <c r="AJ94"/>
  <c r="AI94"/>
  <c r="AG95"/>
  <c r="AF95"/>
  <c r="AG94"/>
  <c r="AF94"/>
  <c r="AD95"/>
  <c r="AC95"/>
  <c r="AD94"/>
  <c r="AC94"/>
  <c r="AA95"/>
  <c r="Z95"/>
  <c r="AA94"/>
  <c r="Z94"/>
  <c r="X95"/>
  <c r="W95"/>
  <c r="X94"/>
  <c r="W94"/>
  <c r="U95"/>
  <c r="T95"/>
  <c r="U94"/>
  <c r="T94"/>
  <c r="R95"/>
  <c r="Q95"/>
  <c r="R94"/>
  <c r="Q94"/>
  <c r="O95"/>
  <c r="N95"/>
  <c r="O94"/>
  <c r="N94"/>
  <c r="L95"/>
  <c r="K95"/>
  <c r="K94"/>
  <c r="I95"/>
  <c r="H95"/>
  <c r="I94"/>
  <c r="H94"/>
  <c r="AQ40"/>
  <c r="AN40"/>
  <c r="AK40"/>
  <c r="AK35"/>
  <c r="AC34"/>
  <c r="W20"/>
  <c r="W99" s="1"/>
  <c r="AF20"/>
  <c r="AF99" s="1"/>
  <c r="AH99" s="1"/>
  <c r="Q20"/>
  <c r="Q99" s="1"/>
  <c r="H20"/>
  <c r="H99" s="1"/>
  <c r="K20"/>
  <c r="K99" s="1"/>
  <c r="M99" s="1"/>
  <c r="N19"/>
  <c r="N98" s="1"/>
  <c r="Z19"/>
  <c r="Z98" s="1"/>
  <c r="Q19"/>
  <c r="Q98" s="1"/>
  <c r="S98" s="1"/>
  <c r="T19"/>
  <c r="T98" s="1"/>
  <c r="W19"/>
  <c r="W98" s="1"/>
  <c r="Y98" s="1"/>
  <c r="AF21"/>
  <c r="AF100" s="1"/>
  <c r="AC21"/>
  <c r="AC100" s="1"/>
  <c r="T21"/>
  <c r="T100" s="1"/>
  <c r="W21"/>
  <c r="W100" s="1"/>
  <c r="N21"/>
  <c r="N100" s="1"/>
  <c r="P100" s="1"/>
  <c r="Z25"/>
  <c r="Z104" s="1"/>
  <c r="Z102" s="1"/>
  <c r="Q25"/>
  <c r="Q104" s="1"/>
  <c r="S104" s="1"/>
  <c r="N25"/>
  <c r="N104" s="1"/>
  <c r="N102" s="1"/>
  <c r="AI30"/>
  <c r="AI99" s="1"/>
  <c r="AL30"/>
  <c r="AL99" s="1"/>
  <c r="AN99" s="1"/>
  <c r="AQ63"/>
  <c r="AK63"/>
  <c r="AN63"/>
  <c r="AN57" s="1"/>
  <c r="AF75"/>
  <c r="W75"/>
  <c r="AG14"/>
  <c r="AD14"/>
  <c r="AF25"/>
  <c r="AF104" s="1"/>
  <c r="AF102" s="1"/>
  <c r="AC25"/>
  <c r="AC104" s="1"/>
  <c r="AE104" s="1"/>
  <c r="AC19"/>
  <c r="AF19"/>
  <c r="AF98" s="1"/>
  <c r="AF34"/>
  <c r="Z34"/>
  <c r="AE35"/>
  <c r="AC20"/>
  <c r="AC99" s="1"/>
  <c r="Z21"/>
  <c r="Z100" s="1"/>
  <c r="AB100" s="1"/>
  <c r="Z63"/>
  <c r="AC63"/>
  <c r="AO62"/>
  <c r="AQ62" s="1"/>
  <c r="AH40"/>
  <c r="E100" l="1"/>
  <c r="V100"/>
  <c r="AF97"/>
  <c r="AH100"/>
  <c r="AH97"/>
  <c r="AC14"/>
  <c r="AC98"/>
  <c r="Q97"/>
  <c r="P98"/>
  <c r="P104"/>
  <c r="AB104"/>
  <c r="AH104"/>
  <c r="AE132"/>
  <c r="AQ132"/>
  <c r="F100"/>
  <c r="G100" s="1"/>
  <c r="I97"/>
  <c r="R97"/>
  <c r="W97"/>
  <c r="AL97"/>
  <c r="J99"/>
  <c r="AK100"/>
  <c r="Q102"/>
  <c r="AC102"/>
  <c r="E122"/>
  <c r="AE157"/>
  <c r="E157"/>
  <c r="AC132"/>
  <c r="AI132"/>
  <c r="AK132" s="1"/>
  <c r="AO132"/>
  <c r="E133"/>
  <c r="E132" s="1"/>
  <c r="G132" s="1"/>
  <c r="M100"/>
  <c r="AO117"/>
  <c r="AB102"/>
  <c r="F122"/>
  <c r="G122" s="1"/>
  <c r="Y137"/>
  <c r="AB137"/>
  <c r="E152"/>
  <c r="G152" s="1"/>
  <c r="AL119"/>
  <c r="AI119" s="1"/>
  <c r="AF119" s="1"/>
  <c r="AC119" s="1"/>
  <c r="Z119" s="1"/>
  <c r="W119" s="1"/>
  <c r="T119" s="1"/>
  <c r="Q119" s="1"/>
  <c r="N119" s="1"/>
  <c r="K119" s="1"/>
  <c r="H119" s="1"/>
  <c r="E119" s="1"/>
  <c r="G134"/>
  <c r="Y97"/>
  <c r="F142"/>
  <c r="E142"/>
  <c r="Y142"/>
  <c r="AH137"/>
  <c r="G143"/>
  <c r="G144"/>
  <c r="AE152"/>
  <c r="AK152"/>
  <c r="AN152"/>
  <c r="AQ152"/>
  <c r="G112"/>
  <c r="AB122"/>
  <c r="AE122"/>
  <c r="AH122"/>
  <c r="AQ117"/>
  <c r="AK148"/>
  <c r="AH148" s="1"/>
  <c r="AE148" s="1"/>
  <c r="AB148" s="1"/>
  <c r="Y148" s="1"/>
  <c r="V148" s="1"/>
  <c r="S148" s="1"/>
  <c r="P148" s="1"/>
  <c r="M148" s="1"/>
  <c r="J148" s="1"/>
  <c r="G148" s="1"/>
  <c r="AN147"/>
  <c r="AL147"/>
  <c r="AI148"/>
  <c r="AF148" s="1"/>
  <c r="AC148" s="1"/>
  <c r="Z148" s="1"/>
  <c r="W148" s="1"/>
  <c r="T148" s="1"/>
  <c r="Q148" s="1"/>
  <c r="N148" s="1"/>
  <c r="K148" s="1"/>
  <c r="H148" s="1"/>
  <c r="E148" s="1"/>
  <c r="G139"/>
  <c r="AO147"/>
  <c r="AQ147"/>
  <c r="AG118"/>
  <c r="AI118"/>
  <c r="AN117"/>
  <c r="AK118"/>
  <c r="AJ119"/>
  <c r="AG119" s="1"/>
  <c r="AD119" s="1"/>
  <c r="AA119" s="1"/>
  <c r="X119" s="1"/>
  <c r="U119" s="1"/>
  <c r="R119" s="1"/>
  <c r="O119" s="1"/>
  <c r="L119" s="1"/>
  <c r="I119" s="1"/>
  <c r="F119" s="1"/>
  <c r="AM117"/>
  <c r="M112"/>
  <c r="P112"/>
  <c r="S112"/>
  <c r="V112"/>
  <c r="AE112"/>
  <c r="G114"/>
  <c r="V107"/>
  <c r="P107"/>
  <c r="AH127"/>
  <c r="AB127"/>
  <c r="S127"/>
  <c r="G129"/>
  <c r="E127"/>
  <c r="AH152"/>
  <c r="AB152"/>
  <c r="G154"/>
  <c r="P102"/>
  <c r="G103"/>
  <c r="AH102"/>
  <c r="AQ97"/>
  <c r="O97"/>
  <c r="F99"/>
  <c r="AM97"/>
  <c r="AN97" s="1"/>
  <c r="AJ97"/>
  <c r="AK97" s="1"/>
  <c r="V157"/>
  <c r="P157"/>
  <c r="AH149"/>
  <c r="AJ149"/>
  <c r="AM147"/>
  <c r="AF149"/>
  <c r="AI147"/>
  <c r="S102"/>
  <c r="G123"/>
  <c r="G138"/>
  <c r="M152"/>
  <c r="P152"/>
  <c r="S152"/>
  <c r="V152"/>
  <c r="G153"/>
  <c r="M157"/>
  <c r="S157"/>
  <c r="AB157"/>
  <c r="AH157"/>
  <c r="G158"/>
  <c r="AE102"/>
  <c r="M107"/>
  <c r="AH107"/>
  <c r="P127"/>
  <c r="V127"/>
  <c r="AE127"/>
  <c r="AE137"/>
  <c r="F157"/>
  <c r="F137"/>
  <c r="G137" s="1"/>
  <c r="F127"/>
  <c r="G127" s="1"/>
  <c r="F102"/>
  <c r="S97"/>
  <c r="AF14"/>
  <c r="AB75"/>
  <c r="AB68" s="1"/>
  <c r="F83"/>
  <c r="F95" s="1"/>
  <c r="E83"/>
  <c r="E95" s="1"/>
  <c r="F77"/>
  <c r="E77"/>
  <c r="F70"/>
  <c r="E70"/>
  <c r="F65"/>
  <c r="E65"/>
  <c r="F59"/>
  <c r="E59"/>
  <c r="F53"/>
  <c r="E53"/>
  <c r="F48"/>
  <c r="E48"/>
  <c r="F43"/>
  <c r="E43"/>
  <c r="F42"/>
  <c r="E42"/>
  <c r="F37"/>
  <c r="E37"/>
  <c r="F32"/>
  <c r="E32"/>
  <c r="F31"/>
  <c r="E31"/>
  <c r="F27"/>
  <c r="E27"/>
  <c r="F17"/>
  <c r="E17"/>
  <c r="F22"/>
  <c r="E22"/>
  <c r="X14"/>
  <c r="L82"/>
  <c r="E82"/>
  <c r="E94" s="1"/>
  <c r="F76"/>
  <c r="F69" s="1"/>
  <c r="E76"/>
  <c r="E69" s="1"/>
  <c r="AK75"/>
  <c r="AK68" s="1"/>
  <c r="AH75"/>
  <c r="AE75"/>
  <c r="AE68" s="1"/>
  <c r="T75"/>
  <c r="Q75"/>
  <c r="Q73" s="1"/>
  <c r="P75"/>
  <c r="M75"/>
  <c r="F75"/>
  <c r="F74"/>
  <c r="F73" s="1"/>
  <c r="E74"/>
  <c r="E67" s="1"/>
  <c r="AQ73"/>
  <c r="AP73"/>
  <c r="AO73"/>
  <c r="AN73"/>
  <c r="AM73"/>
  <c r="AL73"/>
  <c r="AJ73"/>
  <c r="AI73"/>
  <c r="AG73"/>
  <c r="AF73"/>
  <c r="AD73"/>
  <c r="AC73"/>
  <c r="AB73"/>
  <c r="AA73"/>
  <c r="Z73"/>
  <c r="X73"/>
  <c r="W73"/>
  <c r="U73"/>
  <c r="R73"/>
  <c r="O73"/>
  <c r="N73"/>
  <c r="L73"/>
  <c r="K73"/>
  <c r="I73"/>
  <c r="H73"/>
  <c r="AQ69"/>
  <c r="AP69"/>
  <c r="AO69"/>
  <c r="AN69"/>
  <c r="AM69"/>
  <c r="AL69"/>
  <c r="AK69"/>
  <c r="AJ69"/>
  <c r="AI69"/>
  <c r="AH69"/>
  <c r="AG69"/>
  <c r="AG66" s="1"/>
  <c r="AF69"/>
  <c r="AE69"/>
  <c r="AD69"/>
  <c r="AC69"/>
  <c r="AB69"/>
  <c r="AA69"/>
  <c r="AA66" s="1"/>
  <c r="Z69"/>
  <c r="Y69"/>
  <c r="X69"/>
  <c r="W69"/>
  <c r="V69"/>
  <c r="U69"/>
  <c r="T69"/>
  <c r="S69"/>
  <c r="R69"/>
  <c r="Q69"/>
  <c r="P69"/>
  <c r="O69"/>
  <c r="N69"/>
  <c r="L69"/>
  <c r="K69"/>
  <c r="J69"/>
  <c r="I69"/>
  <c r="H69"/>
  <c r="AQ68"/>
  <c r="AQ66" s="1"/>
  <c r="AP68"/>
  <c r="AO68"/>
  <c r="AN68"/>
  <c r="AM68"/>
  <c r="AL68"/>
  <c r="AJ68"/>
  <c r="AI68"/>
  <c r="AH68"/>
  <c r="AG68"/>
  <c r="AF68"/>
  <c r="AD68"/>
  <c r="AC68"/>
  <c r="AA68"/>
  <c r="Z68"/>
  <c r="X68"/>
  <c r="U68"/>
  <c r="T68"/>
  <c r="R68"/>
  <c r="O68"/>
  <c r="N68"/>
  <c r="L68"/>
  <c r="K68"/>
  <c r="I68"/>
  <c r="H68"/>
  <c r="AQ67"/>
  <c r="AP67"/>
  <c r="AP66" s="1"/>
  <c r="AO67"/>
  <c r="AN67"/>
  <c r="AM67"/>
  <c r="AL67"/>
  <c r="AL66" s="1"/>
  <c r="AK67"/>
  <c r="AJ67"/>
  <c r="AI67"/>
  <c r="AH67"/>
  <c r="AG67"/>
  <c r="AF67"/>
  <c r="AE67"/>
  <c r="AD67"/>
  <c r="AD66" s="1"/>
  <c r="AC67"/>
  <c r="AB67"/>
  <c r="AA67"/>
  <c r="Z67"/>
  <c r="Z66" s="1"/>
  <c r="Y67"/>
  <c r="X67"/>
  <c r="W67"/>
  <c r="V67"/>
  <c r="U67"/>
  <c r="T67"/>
  <c r="T66" s="1"/>
  <c r="S67"/>
  <c r="R67"/>
  <c r="R66" s="1"/>
  <c r="Q67"/>
  <c r="O67"/>
  <c r="O66" s="1"/>
  <c r="N67"/>
  <c r="L67"/>
  <c r="L66" s="1"/>
  <c r="K67"/>
  <c r="I67"/>
  <c r="I66" s="1"/>
  <c r="H67"/>
  <c r="F67"/>
  <c r="AI66"/>
  <c r="AC66"/>
  <c r="U66"/>
  <c r="F64"/>
  <c r="F58" s="1"/>
  <c r="E64"/>
  <c r="E58" s="1"/>
  <c r="AQ57"/>
  <c r="AE63"/>
  <c r="AB63"/>
  <c r="Y63"/>
  <c r="Y57" s="1"/>
  <c r="V63"/>
  <c r="V57" s="1"/>
  <c r="S63"/>
  <c r="P63"/>
  <c r="K63"/>
  <c r="H63"/>
  <c r="F63"/>
  <c r="F57" s="1"/>
  <c r="AQ56"/>
  <c r="AL62"/>
  <c r="AL56" s="1"/>
  <c r="AI62"/>
  <c r="AK62" s="1"/>
  <c r="AF62"/>
  <c r="AH62" s="1"/>
  <c r="AH56" s="1"/>
  <c r="AC62"/>
  <c r="AE62" s="1"/>
  <c r="Z62"/>
  <c r="AB62" s="1"/>
  <c r="AB56" s="1"/>
  <c r="W62"/>
  <c r="Y62" s="1"/>
  <c r="Y56" s="1"/>
  <c r="T62"/>
  <c r="V62" s="1"/>
  <c r="V56" s="1"/>
  <c r="Q62"/>
  <c r="S62" s="1"/>
  <c r="N62"/>
  <c r="P62" s="1"/>
  <c r="K62"/>
  <c r="M62" s="1"/>
  <c r="F62"/>
  <c r="F56" s="1"/>
  <c r="AP61"/>
  <c r="AO61"/>
  <c r="AM61"/>
  <c r="AL61"/>
  <c r="AJ61"/>
  <c r="AI61"/>
  <c r="AG61"/>
  <c r="AF61"/>
  <c r="AD61"/>
  <c r="AC61"/>
  <c r="AA61"/>
  <c r="Z61"/>
  <c r="X61"/>
  <c r="W61"/>
  <c r="U61"/>
  <c r="T61"/>
  <c r="R61"/>
  <c r="Q61"/>
  <c r="O61"/>
  <c r="N61"/>
  <c r="L61"/>
  <c r="I61"/>
  <c r="H61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R58"/>
  <c r="Q58"/>
  <c r="P58"/>
  <c r="O58"/>
  <c r="N58"/>
  <c r="L58"/>
  <c r="K58"/>
  <c r="I58"/>
  <c r="H58"/>
  <c r="AP57"/>
  <c r="AO57"/>
  <c r="AO55" s="1"/>
  <c r="AM57"/>
  <c r="AL57"/>
  <c r="AK57"/>
  <c r="AJ57"/>
  <c r="AI57"/>
  <c r="AH57"/>
  <c r="AG57"/>
  <c r="AF57"/>
  <c r="AD57"/>
  <c r="AC57"/>
  <c r="AB57"/>
  <c r="AA57"/>
  <c r="Z57"/>
  <c r="X57"/>
  <c r="W57"/>
  <c r="U57"/>
  <c r="U55" s="1"/>
  <c r="T57"/>
  <c r="R57"/>
  <c r="Q57"/>
  <c r="O57"/>
  <c r="N57"/>
  <c r="L57"/>
  <c r="I57"/>
  <c r="H57"/>
  <c r="AP56"/>
  <c r="AO56"/>
  <c r="AM56"/>
  <c r="AJ56"/>
  <c r="AI56"/>
  <c r="AG56"/>
  <c r="AD56"/>
  <c r="AD79" s="1"/>
  <c r="AD91" s="1"/>
  <c r="AC56"/>
  <c r="AA56"/>
  <c r="AA55" s="1"/>
  <c r="X56"/>
  <c r="W56"/>
  <c r="U56"/>
  <c r="R56"/>
  <c r="Q56"/>
  <c r="O56"/>
  <c r="O55" s="1"/>
  <c r="L56"/>
  <c r="K56"/>
  <c r="I56"/>
  <c r="H56"/>
  <c r="AI55"/>
  <c r="I55"/>
  <c r="F52"/>
  <c r="E52"/>
  <c r="F51"/>
  <c r="E51"/>
  <c r="F50"/>
  <c r="E50"/>
  <c r="E49" s="1"/>
  <c r="AP49"/>
  <c r="AO49"/>
  <c r="AM49"/>
  <c r="AL49"/>
  <c r="AJ49"/>
  <c r="AI49"/>
  <c r="AG49"/>
  <c r="AF49"/>
  <c r="AD49"/>
  <c r="AC49"/>
  <c r="AA49"/>
  <c r="Z49"/>
  <c r="Y49"/>
  <c r="X49"/>
  <c r="W49"/>
  <c r="V49"/>
  <c r="U49"/>
  <c r="T49"/>
  <c r="R49"/>
  <c r="Q49"/>
  <c r="O49"/>
  <c r="N49"/>
  <c r="L49"/>
  <c r="K49"/>
  <c r="I49"/>
  <c r="H49"/>
  <c r="F47"/>
  <c r="E47"/>
  <c r="F46"/>
  <c r="E46"/>
  <c r="AH45"/>
  <c r="AE45"/>
  <c r="F45"/>
  <c r="E45"/>
  <c r="E44" s="1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L41"/>
  <c r="F41" s="1"/>
  <c r="E41"/>
  <c r="AO38"/>
  <c r="AE40"/>
  <c r="Z40"/>
  <c r="W40"/>
  <c r="V40"/>
  <c r="V38" s="1"/>
  <c r="Q40"/>
  <c r="P40"/>
  <c r="M40"/>
  <c r="F40"/>
  <c r="F39"/>
  <c r="E39"/>
  <c r="AQ38"/>
  <c r="AP38"/>
  <c r="AN38"/>
  <c r="AM38"/>
  <c r="AL38"/>
  <c r="AK38"/>
  <c r="AJ38"/>
  <c r="AI38"/>
  <c r="AG38"/>
  <c r="AF38"/>
  <c r="AD38"/>
  <c r="AA38"/>
  <c r="X38"/>
  <c r="U38"/>
  <c r="T38"/>
  <c r="R38"/>
  <c r="O38"/>
  <c r="N38"/>
  <c r="L38"/>
  <c r="K38"/>
  <c r="J38"/>
  <c r="I38"/>
  <c r="H38"/>
  <c r="F36"/>
  <c r="E36"/>
  <c r="AH35"/>
  <c r="AB35"/>
  <c r="Y35"/>
  <c r="V35"/>
  <c r="S35"/>
  <c r="P35"/>
  <c r="M35"/>
  <c r="J35"/>
  <c r="F35"/>
  <c r="AK34"/>
  <c r="AH34"/>
  <c r="AE34"/>
  <c r="AB34"/>
  <c r="Y34"/>
  <c r="V34"/>
  <c r="S34"/>
  <c r="P34"/>
  <c r="M34"/>
  <c r="F34"/>
  <c r="AP33"/>
  <c r="AO33"/>
  <c r="AM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AQ30"/>
  <c r="AN30"/>
  <c r="AN28" s="1"/>
  <c r="AK30"/>
  <c r="AK28" s="1"/>
  <c r="AH30"/>
  <c r="AE30"/>
  <c r="AB30"/>
  <c r="Y30"/>
  <c r="Y28" s="1"/>
  <c r="V30"/>
  <c r="S30"/>
  <c r="P30"/>
  <c r="M30"/>
  <c r="J30"/>
  <c r="F30"/>
  <c r="E30"/>
  <c r="F29"/>
  <c r="F28" s="1"/>
  <c r="E29"/>
  <c r="AQ28"/>
  <c r="AP28"/>
  <c r="AO28"/>
  <c r="AM28"/>
  <c r="AL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I28"/>
  <c r="H28"/>
  <c r="F26"/>
  <c r="E26"/>
  <c r="AN25"/>
  <c r="AK25"/>
  <c r="AH25"/>
  <c r="AE25"/>
  <c r="AB25"/>
  <c r="W25"/>
  <c r="T25"/>
  <c r="S25"/>
  <c r="P25"/>
  <c r="K25"/>
  <c r="H25"/>
  <c r="F25"/>
  <c r="F24"/>
  <c r="E24"/>
  <c r="AP23"/>
  <c r="AM23"/>
  <c r="AL23"/>
  <c r="AJ23"/>
  <c r="AI23"/>
  <c r="AG23"/>
  <c r="AF23"/>
  <c r="AD23"/>
  <c r="AC23"/>
  <c r="AA23"/>
  <c r="Z23"/>
  <c r="X23"/>
  <c r="U23"/>
  <c r="R23"/>
  <c r="Q23"/>
  <c r="O23"/>
  <c r="N23"/>
  <c r="L23"/>
  <c r="K23"/>
  <c r="I23"/>
  <c r="AQ21"/>
  <c r="AN21"/>
  <c r="AH21"/>
  <c r="AB21"/>
  <c r="Y21"/>
  <c r="V21"/>
  <c r="S21"/>
  <c r="M21"/>
  <c r="J21"/>
  <c r="F21"/>
  <c r="AQ20"/>
  <c r="AN20"/>
  <c r="AK20"/>
  <c r="AH20"/>
  <c r="AE20"/>
  <c r="Z20"/>
  <c r="Z99" s="1"/>
  <c r="AB99" s="1"/>
  <c r="Y20"/>
  <c r="T20"/>
  <c r="S20"/>
  <c r="N20"/>
  <c r="M20"/>
  <c r="J20"/>
  <c r="F20"/>
  <c r="E20"/>
  <c r="AQ19"/>
  <c r="AK19"/>
  <c r="AE19"/>
  <c r="Y19"/>
  <c r="S19"/>
  <c r="K19"/>
  <c r="H19"/>
  <c r="H98" s="1"/>
  <c r="F19"/>
  <c r="AP18"/>
  <c r="AO18"/>
  <c r="AM18"/>
  <c r="AJ18"/>
  <c r="AK18" s="1"/>
  <c r="AI18"/>
  <c r="AG18"/>
  <c r="AD18"/>
  <c r="AC18"/>
  <c r="AA18"/>
  <c r="X18"/>
  <c r="W18"/>
  <c r="U18"/>
  <c r="R18"/>
  <c r="Q18"/>
  <c r="O18"/>
  <c r="L18"/>
  <c r="I18"/>
  <c r="AP16"/>
  <c r="AP81" s="1"/>
  <c r="AP93" s="1"/>
  <c r="AO16"/>
  <c r="AM16"/>
  <c r="AL16"/>
  <c r="AJ16"/>
  <c r="AG16"/>
  <c r="AF16"/>
  <c r="AF81" s="1"/>
  <c r="AF93" s="1"/>
  <c r="AD16"/>
  <c r="AA16"/>
  <c r="Z16"/>
  <c r="X16"/>
  <c r="W16"/>
  <c r="U16"/>
  <c r="T16"/>
  <c r="R16"/>
  <c r="Q16"/>
  <c r="O16"/>
  <c r="N16"/>
  <c r="L16"/>
  <c r="K16"/>
  <c r="I16"/>
  <c r="I81" s="1"/>
  <c r="I93" s="1"/>
  <c r="H16"/>
  <c r="AP15"/>
  <c r="AP80" s="1"/>
  <c r="AP92" s="1"/>
  <c r="AO15"/>
  <c r="AM15"/>
  <c r="AL15"/>
  <c r="AL80" s="1"/>
  <c r="AL92" s="1"/>
  <c r="AJ15"/>
  <c r="AI15"/>
  <c r="AG15"/>
  <c r="AG80" s="1"/>
  <c r="AG92" s="1"/>
  <c r="AD15"/>
  <c r="AA15"/>
  <c r="Z15"/>
  <c r="X15"/>
  <c r="U15"/>
  <c r="R15"/>
  <c r="O15"/>
  <c r="N15"/>
  <c r="L15"/>
  <c r="I15"/>
  <c r="I80" s="1"/>
  <c r="I92" s="1"/>
  <c r="F15"/>
  <c r="AP14"/>
  <c r="AO14"/>
  <c r="AO79" s="1"/>
  <c r="AO91" s="1"/>
  <c r="AM14"/>
  <c r="AL14"/>
  <c r="AJ14"/>
  <c r="AI14"/>
  <c r="AC79"/>
  <c r="AC91" s="1"/>
  <c r="AA14"/>
  <c r="Z14"/>
  <c r="W14"/>
  <c r="U14"/>
  <c r="T14"/>
  <c r="R14"/>
  <c r="Q14"/>
  <c r="Q79" s="1"/>
  <c r="Q91" s="1"/>
  <c r="O14"/>
  <c r="N14"/>
  <c r="L14"/>
  <c r="K14"/>
  <c r="I14"/>
  <c r="H14"/>
  <c r="O13"/>
  <c r="M19" l="1"/>
  <c r="K98"/>
  <c r="P20"/>
  <c r="N99"/>
  <c r="V20"/>
  <c r="T99"/>
  <c r="J25"/>
  <c r="H104"/>
  <c r="V25"/>
  <c r="T104"/>
  <c r="AB40"/>
  <c r="Z109"/>
  <c r="AE98"/>
  <c r="AC97"/>
  <c r="AE97" s="1"/>
  <c r="J98"/>
  <c r="E98"/>
  <c r="H97"/>
  <c r="J97" s="1"/>
  <c r="M25"/>
  <c r="K104"/>
  <c r="W15"/>
  <c r="W13" s="1"/>
  <c r="W104"/>
  <c r="Q15"/>
  <c r="Q109"/>
  <c r="Y40"/>
  <c r="W109"/>
  <c r="H15"/>
  <c r="H80" s="1"/>
  <c r="L80"/>
  <c r="L92" s="1"/>
  <c r="O80"/>
  <c r="O92" s="1"/>
  <c r="P92" s="1"/>
  <c r="T15"/>
  <c r="X80"/>
  <c r="X92" s="1"/>
  <c r="AA80"/>
  <c r="AA92" s="1"/>
  <c r="AJ80"/>
  <c r="AJ92" s="1"/>
  <c r="AM80"/>
  <c r="AM92" s="1"/>
  <c r="L81"/>
  <c r="L93" s="1"/>
  <c r="M93" s="1"/>
  <c r="O81"/>
  <c r="O93" s="1"/>
  <c r="K18"/>
  <c r="AQ18"/>
  <c r="AB20"/>
  <c r="F16"/>
  <c r="F81" s="1"/>
  <c r="F93" s="1"/>
  <c r="H23"/>
  <c r="T23"/>
  <c r="V23" s="1"/>
  <c r="Z38"/>
  <c r="F38"/>
  <c r="G157"/>
  <c r="F97"/>
  <c r="AL117"/>
  <c r="G133"/>
  <c r="Z97"/>
  <c r="AB97" s="1"/>
  <c r="AK147"/>
  <c r="Y33"/>
  <c r="V33"/>
  <c r="G142"/>
  <c r="H66"/>
  <c r="K66"/>
  <c r="AM66"/>
  <c r="AO66"/>
  <c r="AM55"/>
  <c r="H79"/>
  <c r="H91" s="1"/>
  <c r="K79"/>
  <c r="K91" s="1"/>
  <c r="W79"/>
  <c r="W91" s="1"/>
  <c r="AI79"/>
  <c r="AI91" s="1"/>
  <c r="AL79"/>
  <c r="AL91" s="1"/>
  <c r="R80"/>
  <c r="R92" s="1"/>
  <c r="U80"/>
  <c r="U92" s="1"/>
  <c r="AD80"/>
  <c r="AD92" s="1"/>
  <c r="Q81"/>
  <c r="Q93" s="1"/>
  <c r="X79"/>
  <c r="X91" s="1"/>
  <c r="AG55"/>
  <c r="AC55"/>
  <c r="AE66"/>
  <c r="AJ117"/>
  <c r="AH118"/>
  <c r="AK117"/>
  <c r="AF118"/>
  <c r="AI117"/>
  <c r="AD118"/>
  <c r="AG117"/>
  <c r="AF147"/>
  <c r="AC149"/>
  <c r="AJ147"/>
  <c r="AG149"/>
  <c r="AH147"/>
  <c r="AE149"/>
  <c r="I13"/>
  <c r="AG13"/>
  <c r="I79"/>
  <c r="I91" s="1"/>
  <c r="J91" s="1"/>
  <c r="L79"/>
  <c r="O79"/>
  <c r="O91" s="1"/>
  <c r="R79"/>
  <c r="R91" s="1"/>
  <c r="U79"/>
  <c r="U91" s="1"/>
  <c r="AA79"/>
  <c r="AA91" s="1"/>
  <c r="AG79"/>
  <c r="AG91" s="1"/>
  <c r="AJ79"/>
  <c r="AJ91" s="1"/>
  <c r="AP79"/>
  <c r="AP91" s="1"/>
  <c r="AQ91" s="1"/>
  <c r="K15"/>
  <c r="K13" s="1"/>
  <c r="N80"/>
  <c r="N92" s="1"/>
  <c r="T80"/>
  <c r="T92" s="1"/>
  <c r="Z80"/>
  <c r="Z92" s="1"/>
  <c r="AC15"/>
  <c r="AC80" s="1"/>
  <c r="AC92" s="1"/>
  <c r="AF15"/>
  <c r="AF80" s="1"/>
  <c r="AF92" s="1"/>
  <c r="AH92" s="1"/>
  <c r="AI80"/>
  <c r="AI92" s="1"/>
  <c r="AK92" s="1"/>
  <c r="AO80"/>
  <c r="AO92" s="1"/>
  <c r="H81"/>
  <c r="H93" s="1"/>
  <c r="K81"/>
  <c r="K93" s="1"/>
  <c r="N81"/>
  <c r="N93" s="1"/>
  <c r="T81"/>
  <c r="T93" s="1"/>
  <c r="Z81"/>
  <c r="Z93" s="1"/>
  <c r="AL81"/>
  <c r="AL93" s="1"/>
  <c r="S18"/>
  <c r="G30"/>
  <c r="E35"/>
  <c r="G35" s="1"/>
  <c r="W38"/>
  <c r="AC38"/>
  <c r="AE38" s="1"/>
  <c r="H55"/>
  <c r="M56"/>
  <c r="N56"/>
  <c r="N79" s="1"/>
  <c r="S56"/>
  <c r="T56"/>
  <c r="T79" s="1"/>
  <c r="W55"/>
  <c r="Z56"/>
  <c r="Z79" s="1"/>
  <c r="AF56"/>
  <c r="AF79" s="1"/>
  <c r="AF91" s="1"/>
  <c r="P61"/>
  <c r="V61"/>
  <c r="AB61"/>
  <c r="E62"/>
  <c r="E56" s="1"/>
  <c r="U13"/>
  <c r="V92"/>
  <c r="AB92"/>
  <c r="AE92"/>
  <c r="F23"/>
  <c r="M28"/>
  <c r="S28"/>
  <c r="M79"/>
  <c r="L91"/>
  <c r="M91" s="1"/>
  <c r="F61"/>
  <c r="S91"/>
  <c r="Y91"/>
  <c r="AE91"/>
  <c r="AK91"/>
  <c r="AB28"/>
  <c r="AH28"/>
  <c r="E28"/>
  <c r="AB38"/>
  <c r="AH38"/>
  <c r="J55"/>
  <c r="Q55"/>
  <c r="AE61"/>
  <c r="AH61"/>
  <c r="AK61"/>
  <c r="AN61"/>
  <c r="AQ61"/>
  <c r="AN62"/>
  <c r="AN56" s="1"/>
  <c r="F82"/>
  <c r="F94" s="1"/>
  <c r="L94"/>
  <c r="AN92"/>
  <c r="AQ92"/>
  <c r="J93"/>
  <c r="P93"/>
  <c r="F14"/>
  <c r="F79" s="1"/>
  <c r="F91" s="1"/>
  <c r="AK66"/>
  <c r="AP13"/>
  <c r="AO13"/>
  <c r="AL13"/>
  <c r="AM13"/>
  <c r="AN23"/>
  <c r="AN66"/>
  <c r="AM79"/>
  <c r="AK56"/>
  <c r="Q13"/>
  <c r="AB33"/>
  <c r="S79"/>
  <c r="AH23"/>
  <c r="AB23"/>
  <c r="AA13"/>
  <c r="G28"/>
  <c r="AB66"/>
  <c r="M38"/>
  <c r="Y38"/>
  <c r="M68"/>
  <c r="AH33"/>
  <c r="P23"/>
  <c r="E25"/>
  <c r="E23" s="1"/>
  <c r="G23" s="1"/>
  <c r="Y18"/>
  <c r="J57"/>
  <c r="P73"/>
  <c r="AH73"/>
  <c r="M81"/>
  <c r="M33"/>
  <c r="S33"/>
  <c r="AQ80"/>
  <c r="J23"/>
  <c r="AE23"/>
  <c r="AK23"/>
  <c r="J33"/>
  <c r="P33"/>
  <c r="AE33"/>
  <c r="AK33"/>
  <c r="P38"/>
  <c r="AE44"/>
  <c r="P56"/>
  <c r="AE56"/>
  <c r="N55"/>
  <c r="P55" s="1"/>
  <c r="T55"/>
  <c r="V55" s="1"/>
  <c r="X55"/>
  <c r="Z55"/>
  <c r="AB55" s="1"/>
  <c r="AE79"/>
  <c r="AK79"/>
  <c r="M18"/>
  <c r="AE18"/>
  <c r="G20"/>
  <c r="M23"/>
  <c r="S23"/>
  <c r="J28"/>
  <c r="P28"/>
  <c r="V28"/>
  <c r="AE28"/>
  <c r="AH44"/>
  <c r="AJ55"/>
  <c r="AK55" s="1"/>
  <c r="AL55"/>
  <c r="AN55" s="1"/>
  <c r="AP55"/>
  <c r="AQ55" s="1"/>
  <c r="U81"/>
  <c r="W81"/>
  <c r="W93" s="1"/>
  <c r="AA81"/>
  <c r="AG81"/>
  <c r="AM81"/>
  <c r="AO81"/>
  <c r="J61"/>
  <c r="S61"/>
  <c r="Y61"/>
  <c r="M66"/>
  <c r="X66"/>
  <c r="AF66"/>
  <c r="AH66"/>
  <c r="AJ66"/>
  <c r="N66"/>
  <c r="P66" s="1"/>
  <c r="M73"/>
  <c r="S73"/>
  <c r="S66" s="1"/>
  <c r="AE73"/>
  <c r="AK73"/>
  <c r="J79"/>
  <c r="AB80"/>
  <c r="AH80"/>
  <c r="AN80"/>
  <c r="X81"/>
  <c r="Y16"/>
  <c r="AD81"/>
  <c r="AJ81"/>
  <c r="F18"/>
  <c r="AE21"/>
  <c r="AC16"/>
  <c r="AK21"/>
  <c r="AI16"/>
  <c r="Y25"/>
  <c r="W23"/>
  <c r="Y23" s="1"/>
  <c r="AQ25"/>
  <c r="AO23"/>
  <c r="AQ23" s="1"/>
  <c r="F33"/>
  <c r="G45"/>
  <c r="F44"/>
  <c r="G44" s="1"/>
  <c r="F55"/>
  <c r="S57"/>
  <c r="R55"/>
  <c r="S55" s="1"/>
  <c r="M63"/>
  <c r="K61"/>
  <c r="K57"/>
  <c r="K55" s="1"/>
  <c r="S75"/>
  <c r="S68" s="1"/>
  <c r="E75"/>
  <c r="G75" s="1"/>
  <c r="Q68"/>
  <c r="Q66" s="1"/>
  <c r="Y75"/>
  <c r="W68"/>
  <c r="W66" s="1"/>
  <c r="H13"/>
  <c r="J13" s="1"/>
  <c r="L13"/>
  <c r="N13"/>
  <c r="P13" s="1"/>
  <c r="R13"/>
  <c r="T13"/>
  <c r="V13" s="1"/>
  <c r="X13"/>
  <c r="Z13"/>
  <c r="AB13" s="1"/>
  <c r="AD13"/>
  <c r="AJ13"/>
  <c r="M14"/>
  <c r="S14"/>
  <c r="Y14"/>
  <c r="AE14"/>
  <c r="AK14"/>
  <c r="AQ14"/>
  <c r="P15"/>
  <c r="V15"/>
  <c r="AB15"/>
  <c r="AN15"/>
  <c r="M16"/>
  <c r="V16"/>
  <c r="AQ16"/>
  <c r="P57"/>
  <c r="P68"/>
  <c r="R81"/>
  <c r="S16"/>
  <c r="J19"/>
  <c r="E19"/>
  <c r="H18"/>
  <c r="J18" s="1"/>
  <c r="P19"/>
  <c r="N18"/>
  <c r="P18" s="1"/>
  <c r="V19"/>
  <c r="T18"/>
  <c r="V18" s="1"/>
  <c r="AB19"/>
  <c r="Z18"/>
  <c r="AB18" s="1"/>
  <c r="AH19"/>
  <c r="AF18"/>
  <c r="AH18" s="1"/>
  <c r="AN19"/>
  <c r="AL18"/>
  <c r="AN18" s="1"/>
  <c r="P21"/>
  <c r="E21"/>
  <c r="E16" s="1"/>
  <c r="E81" s="1"/>
  <c r="AN34"/>
  <c r="E34"/>
  <c r="AL33"/>
  <c r="AN33" s="1"/>
  <c r="S40"/>
  <c r="E40"/>
  <c r="G40" s="1"/>
  <c r="Q38"/>
  <c r="S38" s="1"/>
  <c r="F49"/>
  <c r="L55"/>
  <c r="AE57"/>
  <c r="AD55"/>
  <c r="AE55" s="1"/>
  <c r="J63"/>
  <c r="E63"/>
  <c r="E57" s="1"/>
  <c r="G57" s="1"/>
  <c r="F68"/>
  <c r="V75"/>
  <c r="V68" s="1"/>
  <c r="V66" s="1"/>
  <c r="T73"/>
  <c r="V73" s="1"/>
  <c r="J14"/>
  <c r="P14"/>
  <c r="V14"/>
  <c r="AB14"/>
  <c r="AH14"/>
  <c r="AN14"/>
  <c r="S15"/>
  <c r="AE15"/>
  <c r="AK15"/>
  <c r="AQ15"/>
  <c r="J16"/>
  <c r="P16"/>
  <c r="AB16"/>
  <c r="AH16"/>
  <c r="AN16"/>
  <c r="M61"/>
  <c r="L78"/>
  <c r="L90" s="1"/>
  <c r="H92" l="1"/>
  <c r="J92" s="1"/>
  <c r="H78"/>
  <c r="H90" s="1"/>
  <c r="J90" s="1"/>
  <c r="J80"/>
  <c r="G98"/>
  <c r="AB109"/>
  <c r="Z107"/>
  <c r="AB107" s="1"/>
  <c r="T102"/>
  <c r="V102" s="1"/>
  <c r="V104"/>
  <c r="H102"/>
  <c r="J102" s="1"/>
  <c r="J104"/>
  <c r="E104"/>
  <c r="V99"/>
  <c r="T97"/>
  <c r="V97" s="1"/>
  <c r="P99"/>
  <c r="E99"/>
  <c r="G99" s="1"/>
  <c r="N97"/>
  <c r="P97" s="1"/>
  <c r="M98"/>
  <c r="K97"/>
  <c r="M97" s="1"/>
  <c r="W107"/>
  <c r="Y109"/>
  <c r="Y107" s="1"/>
  <c r="Q107"/>
  <c r="S107" s="1"/>
  <c r="S109"/>
  <c r="E109"/>
  <c r="Y104"/>
  <c r="Y102" s="1"/>
  <c r="W102"/>
  <c r="M104"/>
  <c r="K102"/>
  <c r="M102" s="1"/>
  <c r="G62"/>
  <c r="Y15"/>
  <c r="M15"/>
  <c r="M55"/>
  <c r="E33"/>
  <c r="G33" s="1"/>
  <c r="J15"/>
  <c r="Y13"/>
  <c r="P80"/>
  <c r="AL78"/>
  <c r="AL90" s="1"/>
  <c r="O78"/>
  <c r="O90" s="1"/>
  <c r="P81"/>
  <c r="J81"/>
  <c r="AE80"/>
  <c r="AH15"/>
  <c r="AF13"/>
  <c r="AH13" s="1"/>
  <c r="K80"/>
  <c r="K92" s="1"/>
  <c r="M92" s="1"/>
  <c r="AP78"/>
  <c r="AP90" s="1"/>
  <c r="M13"/>
  <c r="V80"/>
  <c r="AF78"/>
  <c r="AF90" s="1"/>
  <c r="AH79"/>
  <c r="I78"/>
  <c r="I90" s="1"/>
  <c r="AF55"/>
  <c r="AH55" s="1"/>
  <c r="AQ79"/>
  <c r="Y55"/>
  <c r="AK80"/>
  <c r="Y79"/>
  <c r="AQ13"/>
  <c r="AD117"/>
  <c r="AA118"/>
  <c r="AF117"/>
  <c r="AC118"/>
  <c r="AH117"/>
  <c r="AE118"/>
  <c r="AB149"/>
  <c r="AE147"/>
  <c r="AD149"/>
  <c r="AG147"/>
  <c r="Z149"/>
  <c r="AC147"/>
  <c r="Z91"/>
  <c r="AB91" s="1"/>
  <c r="AB79"/>
  <c r="Z78"/>
  <c r="Z90" s="1"/>
  <c r="T91"/>
  <c r="T78"/>
  <c r="T90" s="1"/>
  <c r="V79"/>
  <c r="N91"/>
  <c r="P91" s="1"/>
  <c r="P79"/>
  <c r="N78"/>
  <c r="N90" s="1"/>
  <c r="P90" s="1"/>
  <c r="AH91"/>
  <c r="V91"/>
  <c r="M80"/>
  <c r="AD78"/>
  <c r="AD90" s="1"/>
  <c r="AD93"/>
  <c r="Y81"/>
  <c r="X93"/>
  <c r="Y93" s="1"/>
  <c r="AO78"/>
  <c r="AO90" s="1"/>
  <c r="AO93"/>
  <c r="AQ93" s="1"/>
  <c r="AH81"/>
  <c r="AG93"/>
  <c r="AH93" s="1"/>
  <c r="AN79"/>
  <c r="AM91"/>
  <c r="AN91" s="1"/>
  <c r="G81"/>
  <c r="E93"/>
  <c r="G93" s="1"/>
  <c r="S81"/>
  <c r="R93"/>
  <c r="S93" s="1"/>
  <c r="AJ78"/>
  <c r="AJ90" s="1"/>
  <c r="AJ93"/>
  <c r="AN81"/>
  <c r="AM93"/>
  <c r="AN93" s="1"/>
  <c r="AB81"/>
  <c r="AA93"/>
  <c r="AB93" s="1"/>
  <c r="V81"/>
  <c r="U93"/>
  <c r="V93" s="1"/>
  <c r="AQ90"/>
  <c r="F13"/>
  <c r="AM78"/>
  <c r="G63"/>
  <c r="AN13"/>
  <c r="S13"/>
  <c r="G25"/>
  <c r="M57"/>
  <c r="AA78"/>
  <c r="AA90" s="1"/>
  <c r="U78"/>
  <c r="U90" s="1"/>
  <c r="AQ81"/>
  <c r="X78"/>
  <c r="X90" s="1"/>
  <c r="AG78"/>
  <c r="AG90" s="1"/>
  <c r="AH90" s="1"/>
  <c r="F66"/>
  <c r="AI81"/>
  <c r="AI13"/>
  <c r="AK13" s="1"/>
  <c r="AC13"/>
  <c r="AE13" s="1"/>
  <c r="AC81"/>
  <c r="AE81" s="1"/>
  <c r="E38"/>
  <c r="G38" s="1"/>
  <c r="E15"/>
  <c r="E18"/>
  <c r="G18" s="1"/>
  <c r="E14"/>
  <c r="Y68"/>
  <c r="Y66" s="1"/>
  <c r="Y73"/>
  <c r="E73"/>
  <c r="G73" s="1"/>
  <c r="E68"/>
  <c r="E66" s="1"/>
  <c r="E55"/>
  <c r="G55" s="1"/>
  <c r="G21"/>
  <c r="AK16"/>
  <c r="AE16"/>
  <c r="W80"/>
  <c r="W92" s="1"/>
  <c r="Y92" s="1"/>
  <c r="Q80"/>
  <c r="Q92" s="1"/>
  <c r="S92" s="1"/>
  <c r="E61"/>
  <c r="G61" s="1"/>
  <c r="R78"/>
  <c r="R90" s="1"/>
  <c r="G16"/>
  <c r="G56"/>
  <c r="G34"/>
  <c r="G19"/>
  <c r="F80"/>
  <c r="F92" s="1"/>
  <c r="AH78"/>
  <c r="V78"/>
  <c r="E107" l="1"/>
  <c r="G107" s="1"/>
  <c r="G109"/>
  <c r="E102"/>
  <c r="G102" s="1"/>
  <c r="G104"/>
  <c r="J78"/>
  <c r="AQ78"/>
  <c r="AB90"/>
  <c r="E97"/>
  <c r="G97" s="1"/>
  <c r="K78"/>
  <c r="P78"/>
  <c r="AB78"/>
  <c r="V90"/>
  <c r="AB118"/>
  <c r="AE117"/>
  <c r="Z118"/>
  <c r="AC117"/>
  <c r="X118"/>
  <c r="AA117"/>
  <c r="Z147"/>
  <c r="W149"/>
  <c r="AD147"/>
  <c r="AA149"/>
  <c r="AB147"/>
  <c r="Y149"/>
  <c r="AI78"/>
  <c r="AI93"/>
  <c r="AK93" s="1"/>
  <c r="AC78"/>
  <c r="AC93"/>
  <c r="AN78"/>
  <c r="AM90"/>
  <c r="AN90" s="1"/>
  <c r="AE93"/>
  <c r="AK81"/>
  <c r="G68"/>
  <c r="F78"/>
  <c r="F90" s="1"/>
  <c r="Y80"/>
  <c r="W78"/>
  <c r="S80"/>
  <c r="Q78"/>
  <c r="Q90" s="1"/>
  <c r="S90" s="1"/>
  <c r="E79"/>
  <c r="E91" s="1"/>
  <c r="G91" s="1"/>
  <c r="E13"/>
  <c r="G13" s="1"/>
  <c r="G14"/>
  <c r="E80"/>
  <c r="G15"/>
  <c r="S78"/>
  <c r="G66"/>
  <c r="K90" l="1"/>
  <c r="M90" s="1"/>
  <c r="M78"/>
  <c r="X117"/>
  <c r="U118"/>
  <c r="Z117"/>
  <c r="W118"/>
  <c r="AB117"/>
  <c r="Y118"/>
  <c r="V149"/>
  <c r="Y147"/>
  <c r="X149"/>
  <c r="AA147"/>
  <c r="T149"/>
  <c r="W147"/>
  <c r="AC90"/>
  <c r="AE90" s="1"/>
  <c r="AE78"/>
  <c r="AK78"/>
  <c r="AI90"/>
  <c r="AK90" s="1"/>
  <c r="G80"/>
  <c r="E92"/>
  <c r="G92" s="1"/>
  <c r="Y78"/>
  <c r="W90"/>
  <c r="Y90" s="1"/>
  <c r="E78"/>
  <c r="G79"/>
  <c r="T118" l="1"/>
  <c r="W117"/>
  <c r="V118"/>
  <c r="Y117"/>
  <c r="R118"/>
  <c r="U117"/>
  <c r="T147"/>
  <c r="Q149"/>
  <c r="V147"/>
  <c r="S149"/>
  <c r="X147"/>
  <c r="U149"/>
  <c r="G78"/>
  <c r="E90"/>
  <c r="G90" s="1"/>
  <c r="AG15" i="37"/>
  <c r="O15"/>
  <c r="AG14"/>
  <c r="X14"/>
  <c r="X15"/>
  <c r="AP15"/>
  <c r="AP14"/>
  <c r="AD14"/>
  <c r="U14"/>
  <c r="AP16"/>
  <c r="AA16"/>
  <c r="X16"/>
  <c r="O16"/>
  <c r="O118" i="47" l="1"/>
  <c r="R117"/>
  <c r="S118"/>
  <c r="V117"/>
  <c r="Q118"/>
  <c r="T117"/>
  <c r="R149"/>
  <c r="U147"/>
  <c r="P149"/>
  <c r="S147"/>
  <c r="N149"/>
  <c r="Q147"/>
  <c r="U79" i="37"/>
  <c r="O79"/>
  <c r="L79"/>
  <c r="L71"/>
  <c r="O71"/>
  <c r="AM71"/>
  <c r="P118" i="47" l="1"/>
  <c r="S117"/>
  <c r="L118"/>
  <c r="O117"/>
  <c r="N118"/>
  <c r="Q117"/>
  <c r="N147"/>
  <c r="K149"/>
  <c r="P147"/>
  <c r="M149"/>
  <c r="R147"/>
  <c r="O149"/>
  <c r="Q24" i="37"/>
  <c r="N24"/>
  <c r="N117" i="47" l="1"/>
  <c r="K118"/>
  <c r="M118"/>
  <c r="P117"/>
  <c r="L117"/>
  <c r="I118"/>
  <c r="L149"/>
  <c r="O147"/>
  <c r="J149"/>
  <c r="M147"/>
  <c r="H149"/>
  <c r="K147"/>
  <c r="N26" i="37"/>
  <c r="AM26"/>
  <c r="AJ26"/>
  <c r="AG26"/>
  <c r="AD26"/>
  <c r="AA26"/>
  <c r="X26"/>
  <c r="U26"/>
  <c r="R26"/>
  <c r="O26"/>
  <c r="Q26" s="1"/>
  <c r="J118" i="47" l="1"/>
  <c r="M117"/>
  <c r="F118"/>
  <c r="F117" s="1"/>
  <c r="I117"/>
  <c r="K117"/>
  <c r="H118"/>
  <c r="H147"/>
  <c r="E149"/>
  <c r="E147" s="1"/>
  <c r="J147"/>
  <c r="G149"/>
  <c r="G147" s="1"/>
  <c r="L147"/>
  <c r="I149"/>
  <c r="L15" i="37"/>
  <c r="AM16"/>
  <c r="Q16"/>
  <c r="N16"/>
  <c r="O14"/>
  <c r="Q14" s="1"/>
  <c r="J117" i="47" l="1"/>
  <c r="G118"/>
  <c r="G117" s="1"/>
  <c r="H117"/>
  <c r="E118"/>
  <c r="E117" s="1"/>
  <c r="F149"/>
  <c r="F147" s="1"/>
  <c r="I147"/>
  <c r="Q15" i="37"/>
  <c r="R15"/>
  <c r="T15" s="1"/>
  <c r="AP11"/>
  <c r="AP71"/>
  <c r="F71" s="1"/>
  <c r="O58"/>
  <c r="Q58" s="1"/>
  <c r="R79"/>
  <c r="R77" s="1"/>
  <c r="N79"/>
  <c r="R79" i="35"/>
  <c r="T79" s="1"/>
  <c r="O79"/>
  <c r="L79"/>
  <c r="L64" s="1"/>
  <c r="G80" i="37"/>
  <c r="F80"/>
  <c r="AP79"/>
  <c r="AM79"/>
  <c r="AM77" s="1"/>
  <c r="AJ79"/>
  <c r="AI79"/>
  <c r="AG79"/>
  <c r="AG77" s="1"/>
  <c r="AF79"/>
  <c r="AD79"/>
  <c r="AC79"/>
  <c r="AA79"/>
  <c r="Z79"/>
  <c r="Z77" s="1"/>
  <c r="X79"/>
  <c r="W79"/>
  <c r="U77"/>
  <c r="Q79"/>
  <c r="G79"/>
  <c r="G78"/>
  <c r="F78"/>
  <c r="AP77"/>
  <c r="AO77"/>
  <c r="AN77"/>
  <c r="AL77"/>
  <c r="AK77"/>
  <c r="AJ77"/>
  <c r="AH77"/>
  <c r="AE77"/>
  <c r="AD77"/>
  <c r="AB77"/>
  <c r="AA77"/>
  <c r="Y77"/>
  <c r="X77"/>
  <c r="V77"/>
  <c r="S77"/>
  <c r="P77"/>
  <c r="O77"/>
  <c r="M77"/>
  <c r="L77"/>
  <c r="J77"/>
  <c r="I77"/>
  <c r="G76"/>
  <c r="F76"/>
  <c r="G75"/>
  <c r="F75"/>
  <c r="G74"/>
  <c r="F74"/>
  <c r="F73" s="1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G65" s="1"/>
  <c r="F72"/>
  <c r="AI71"/>
  <c r="AF71"/>
  <c r="AC71"/>
  <c r="AC64" s="1"/>
  <c r="Z71"/>
  <c r="W71"/>
  <c r="T71"/>
  <c r="Q71"/>
  <c r="N71"/>
  <c r="G71"/>
  <c r="G69" s="1"/>
  <c r="G70"/>
  <c r="F70"/>
  <c r="AO69"/>
  <c r="AN69"/>
  <c r="AM69"/>
  <c r="AL69"/>
  <c r="AK69"/>
  <c r="AJ69"/>
  <c r="AH69"/>
  <c r="AG69"/>
  <c r="AE69"/>
  <c r="AD69"/>
  <c r="AB69"/>
  <c r="AA69"/>
  <c r="Y69"/>
  <c r="X69"/>
  <c r="V69"/>
  <c r="U69"/>
  <c r="S69"/>
  <c r="R69"/>
  <c r="P69"/>
  <c r="O69"/>
  <c r="M69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O64"/>
  <c r="AN64"/>
  <c r="AM64"/>
  <c r="AL64"/>
  <c r="AK64"/>
  <c r="AJ64"/>
  <c r="AI64"/>
  <c r="AH64"/>
  <c r="AE64"/>
  <c r="AF64" s="1"/>
  <c r="AD64"/>
  <c r="AB64"/>
  <c r="AA64"/>
  <c r="Z64"/>
  <c r="Y64"/>
  <c r="X64"/>
  <c r="V64"/>
  <c r="S64"/>
  <c r="P64"/>
  <c r="O64"/>
  <c r="M64"/>
  <c r="L64"/>
  <c r="J64"/>
  <c r="I64"/>
  <c r="AR63"/>
  <c r="AQ63"/>
  <c r="AP63"/>
  <c r="AO63"/>
  <c r="AO62" s="1"/>
  <c r="AN63"/>
  <c r="AM63"/>
  <c r="AL63"/>
  <c r="AK63"/>
  <c r="AJ63"/>
  <c r="AI63"/>
  <c r="AH63"/>
  <c r="AG63"/>
  <c r="AF63"/>
  <c r="AE63"/>
  <c r="AD63"/>
  <c r="AC63"/>
  <c r="AC62" s="1"/>
  <c r="AB63"/>
  <c r="AA63"/>
  <c r="Z63"/>
  <c r="Y63"/>
  <c r="X63"/>
  <c r="W63"/>
  <c r="V63"/>
  <c r="U63"/>
  <c r="S63"/>
  <c r="R63"/>
  <c r="P63"/>
  <c r="O63"/>
  <c r="N63"/>
  <c r="M63"/>
  <c r="L63"/>
  <c r="J63"/>
  <c r="J62" s="1"/>
  <c r="I63"/>
  <c r="G63"/>
  <c r="AR62"/>
  <c r="AQ62"/>
  <c r="AJ62"/>
  <c r="X62"/>
  <c r="L62"/>
  <c r="G59"/>
  <c r="F59"/>
  <c r="F51" s="1"/>
  <c r="AI58"/>
  <c r="Z58"/>
  <c r="G58"/>
  <c r="G50" s="1"/>
  <c r="F58"/>
  <c r="F50" s="1"/>
  <c r="G57"/>
  <c r="F57"/>
  <c r="F49" s="1"/>
  <c r="AP56"/>
  <c r="AO56"/>
  <c r="AN56"/>
  <c r="AM56"/>
  <c r="AL56"/>
  <c r="AK56"/>
  <c r="AJ56"/>
  <c r="AH56"/>
  <c r="AG56"/>
  <c r="AF56"/>
  <c r="AE56"/>
  <c r="AD56"/>
  <c r="AC56"/>
  <c r="AB56"/>
  <c r="AA56"/>
  <c r="Z56"/>
  <c r="Y56"/>
  <c r="X56"/>
  <c r="V56"/>
  <c r="U56"/>
  <c r="T56"/>
  <c r="S56"/>
  <c r="R56"/>
  <c r="P56"/>
  <c r="O56"/>
  <c r="M56"/>
  <c r="L56"/>
  <c r="J56"/>
  <c r="I56"/>
  <c r="G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G51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9"/>
  <c r="AQ49"/>
  <c r="AP49"/>
  <c r="AO49"/>
  <c r="AN49"/>
  <c r="AM49"/>
  <c r="AM48" s="1"/>
  <c r="AL49"/>
  <c r="AK49"/>
  <c r="AJ49"/>
  <c r="AI49"/>
  <c r="AI48" s="1"/>
  <c r="AH49"/>
  <c r="AG49"/>
  <c r="AF49"/>
  <c r="AE49"/>
  <c r="AE48" s="1"/>
  <c r="AD49"/>
  <c r="AC49"/>
  <c r="AB49"/>
  <c r="AA49"/>
  <c r="Z49"/>
  <c r="Y49"/>
  <c r="X49"/>
  <c r="W49"/>
  <c r="W48" s="1"/>
  <c r="V49"/>
  <c r="U49"/>
  <c r="T49"/>
  <c r="S49"/>
  <c r="S48" s="1"/>
  <c r="R49"/>
  <c r="P49"/>
  <c r="P48" s="1"/>
  <c r="O49"/>
  <c r="M49"/>
  <c r="M48" s="1"/>
  <c r="L49"/>
  <c r="J49"/>
  <c r="J48" s="1"/>
  <c r="I49"/>
  <c r="G49"/>
  <c r="AQ48"/>
  <c r="AA48"/>
  <c r="G45"/>
  <c r="G36" s="1"/>
  <c r="F45"/>
  <c r="AI44"/>
  <c r="AI35" s="1"/>
  <c r="AF44"/>
  <c r="AC44"/>
  <c r="Z44"/>
  <c r="Z35" s="1"/>
  <c r="W44"/>
  <c r="W35" s="1"/>
  <c r="T44"/>
  <c r="Q44"/>
  <c r="N44"/>
  <c r="K44"/>
  <c r="G44"/>
  <c r="G35" s="1"/>
  <c r="F44"/>
  <c r="AI43"/>
  <c r="AF43"/>
  <c r="AC43"/>
  <c r="Z43"/>
  <c r="Z34" s="1"/>
  <c r="W43"/>
  <c r="T43"/>
  <c r="Q43"/>
  <c r="N43"/>
  <c r="G43"/>
  <c r="F43"/>
  <c r="F34" s="1"/>
  <c r="AP42"/>
  <c r="AO42"/>
  <c r="AN42"/>
  <c r="AM42"/>
  <c r="AL42"/>
  <c r="AK42"/>
  <c r="AJ42"/>
  <c r="AH42"/>
  <c r="AI42" s="1"/>
  <c r="AG42"/>
  <c r="AE42"/>
  <c r="AF42" s="1"/>
  <c r="AD42"/>
  <c r="AB42"/>
  <c r="AC42" s="1"/>
  <c r="AA42"/>
  <c r="Y42"/>
  <c r="X42"/>
  <c r="V42"/>
  <c r="W42" s="1"/>
  <c r="U42"/>
  <c r="S42"/>
  <c r="T42" s="1"/>
  <c r="R42"/>
  <c r="P42"/>
  <c r="Q42" s="1"/>
  <c r="O42"/>
  <c r="M42"/>
  <c r="N42" s="1"/>
  <c r="L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H35"/>
  <c r="AG35"/>
  <c r="AE35"/>
  <c r="AD35"/>
  <c r="AC35"/>
  <c r="AB35"/>
  <c r="AA35"/>
  <c r="Y35"/>
  <c r="X35"/>
  <c r="V35"/>
  <c r="U35"/>
  <c r="S35"/>
  <c r="R35"/>
  <c r="P35"/>
  <c r="O35"/>
  <c r="M35"/>
  <c r="L35"/>
  <c r="J35"/>
  <c r="I35"/>
  <c r="AR34"/>
  <c r="AQ34"/>
  <c r="AP34"/>
  <c r="AO34"/>
  <c r="AN34"/>
  <c r="AM34"/>
  <c r="AL34"/>
  <c r="AK34"/>
  <c r="AJ34"/>
  <c r="AI34"/>
  <c r="AH34"/>
  <c r="AG34"/>
  <c r="AE34"/>
  <c r="AD34"/>
  <c r="AC34"/>
  <c r="AB34"/>
  <c r="AA34"/>
  <c r="Y34"/>
  <c r="X34"/>
  <c r="W34"/>
  <c r="V34"/>
  <c r="U34"/>
  <c r="S34"/>
  <c r="R34"/>
  <c r="P34"/>
  <c r="O34"/>
  <c r="M34"/>
  <c r="L34"/>
  <c r="J34"/>
  <c r="I34"/>
  <c r="G34"/>
  <c r="AQ33"/>
  <c r="AA33"/>
  <c r="O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I26"/>
  <c r="AI10" s="1"/>
  <c r="AI82" s="1"/>
  <c r="AF26"/>
  <c r="AC26"/>
  <c r="AC25" s="1"/>
  <c r="Z26"/>
  <c r="K26"/>
  <c r="G26"/>
  <c r="F26"/>
  <c r="AR25"/>
  <c r="AQ25"/>
  <c r="AP25"/>
  <c r="AO25"/>
  <c r="AN25"/>
  <c r="AM25"/>
  <c r="AL25"/>
  <c r="AK25"/>
  <c r="AJ25"/>
  <c r="AH25"/>
  <c r="AI25" s="1"/>
  <c r="AG25"/>
  <c r="AE25"/>
  <c r="AD25"/>
  <c r="AB25"/>
  <c r="AA25"/>
  <c r="Z25"/>
  <c r="Y25"/>
  <c r="X25"/>
  <c r="W25"/>
  <c r="V25"/>
  <c r="U25"/>
  <c r="S25"/>
  <c r="R25"/>
  <c r="P25"/>
  <c r="Q25" s="1"/>
  <c r="O25"/>
  <c r="M25"/>
  <c r="N25" s="1"/>
  <c r="L25"/>
  <c r="J25"/>
  <c r="K25" s="1"/>
  <c r="I25"/>
  <c r="K24"/>
  <c r="G24"/>
  <c r="F24"/>
  <c r="G23"/>
  <c r="F23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W22" s="1"/>
  <c r="S22"/>
  <c r="R22"/>
  <c r="P22"/>
  <c r="O22"/>
  <c r="M22"/>
  <c r="L22"/>
  <c r="J22"/>
  <c r="I22"/>
  <c r="K22" s="1"/>
  <c r="G20"/>
  <c r="F20"/>
  <c r="K19"/>
  <c r="G19"/>
  <c r="F19"/>
  <c r="G18"/>
  <c r="F18"/>
  <c r="AR17"/>
  <c r="AQ17"/>
  <c r="AP17"/>
  <c r="AO17"/>
  <c r="AN17"/>
  <c r="AM17"/>
  <c r="AL17"/>
  <c r="AK17"/>
  <c r="AJ17"/>
  <c r="AI17"/>
  <c r="AH17"/>
  <c r="AG17"/>
  <c r="AE17"/>
  <c r="AF17" s="1"/>
  <c r="AD17"/>
  <c r="AC17"/>
  <c r="AB17"/>
  <c r="AA17"/>
  <c r="Y17"/>
  <c r="X17"/>
  <c r="V17"/>
  <c r="U17"/>
  <c r="S17"/>
  <c r="R17"/>
  <c r="P17"/>
  <c r="O17"/>
  <c r="M17"/>
  <c r="L17"/>
  <c r="J17"/>
  <c r="I17"/>
  <c r="AD16"/>
  <c r="AD12" s="1"/>
  <c r="K16"/>
  <c r="G16"/>
  <c r="AM15"/>
  <c r="AM13" s="1"/>
  <c r="AJ15"/>
  <c r="AG11"/>
  <c r="AD15"/>
  <c r="AF15" s="1"/>
  <c r="AA15"/>
  <c r="AA11" s="1"/>
  <c r="AA83" s="1"/>
  <c r="Z15"/>
  <c r="Z11" s="1"/>
  <c r="U15"/>
  <c r="U13" s="1"/>
  <c r="N15"/>
  <c r="K15"/>
  <c r="G15"/>
  <c r="AP10"/>
  <c r="AM14"/>
  <c r="AJ14"/>
  <c r="AJ13" s="1"/>
  <c r="AD10"/>
  <c r="AA14"/>
  <c r="AA13" s="1"/>
  <c r="R14"/>
  <c r="R10" s="1"/>
  <c r="L14"/>
  <c r="N14" s="1"/>
  <c r="I14"/>
  <c r="G14"/>
  <c r="AR13"/>
  <c r="AQ13"/>
  <c r="AO13"/>
  <c r="AN13"/>
  <c r="AL13"/>
  <c r="AK13"/>
  <c r="AH13"/>
  <c r="AE13"/>
  <c r="AD13"/>
  <c r="AB13"/>
  <c r="Z13"/>
  <c r="Y13"/>
  <c r="X13"/>
  <c r="V13"/>
  <c r="S13"/>
  <c r="P13"/>
  <c r="M13"/>
  <c r="J13"/>
  <c r="AR12"/>
  <c r="AQ12"/>
  <c r="AQ84" s="1"/>
  <c r="AP12"/>
  <c r="AO12"/>
  <c r="AO84" s="1"/>
  <c r="AN12"/>
  <c r="AM12"/>
  <c r="AM84" s="1"/>
  <c r="AL12"/>
  <c r="AK12"/>
  <c r="AK84" s="1"/>
  <c r="AJ12"/>
  <c r="AI12"/>
  <c r="AI84" s="1"/>
  <c r="AH12"/>
  <c r="AG12"/>
  <c r="AG84" s="1"/>
  <c r="AE12"/>
  <c r="AC12"/>
  <c r="AC84" s="1"/>
  <c r="AB12"/>
  <c r="AA12"/>
  <c r="AA84" s="1"/>
  <c r="Z12"/>
  <c r="Y12"/>
  <c r="Y84" s="1"/>
  <c r="X12"/>
  <c r="V12"/>
  <c r="W12" s="1"/>
  <c r="W84" s="1"/>
  <c r="U12"/>
  <c r="S12"/>
  <c r="R12"/>
  <c r="P12"/>
  <c r="P84" s="1"/>
  <c r="O12"/>
  <c r="M12"/>
  <c r="M84" s="1"/>
  <c r="L12"/>
  <c r="J12"/>
  <c r="I12"/>
  <c r="AR11"/>
  <c r="AR83" s="1"/>
  <c r="AQ11"/>
  <c r="AO11"/>
  <c r="AN11"/>
  <c r="AM11"/>
  <c r="AM83" s="1"/>
  <c r="AL11"/>
  <c r="AK11"/>
  <c r="AJ11"/>
  <c r="AI11"/>
  <c r="AH11"/>
  <c r="AE11"/>
  <c r="AE83" s="1"/>
  <c r="AD11"/>
  <c r="AB11"/>
  <c r="AB83" s="1"/>
  <c r="Y11"/>
  <c r="X11"/>
  <c r="X83" s="1"/>
  <c r="V11"/>
  <c r="S11"/>
  <c r="S83" s="1"/>
  <c r="P11"/>
  <c r="P83" s="1"/>
  <c r="M11"/>
  <c r="L11"/>
  <c r="J11"/>
  <c r="AR10"/>
  <c r="AQ10"/>
  <c r="AQ82" s="1"/>
  <c r="AO10"/>
  <c r="AN10"/>
  <c r="AM10"/>
  <c r="AL10"/>
  <c r="AL82" s="1"/>
  <c r="AK10"/>
  <c r="AJ10"/>
  <c r="AH10"/>
  <c r="AH82" s="1"/>
  <c r="AG10"/>
  <c r="AE10"/>
  <c r="AB10"/>
  <c r="Z10"/>
  <c r="Z82" s="1"/>
  <c r="Y10"/>
  <c r="X10"/>
  <c r="V10"/>
  <c r="V82" s="1"/>
  <c r="U10"/>
  <c r="S10"/>
  <c r="P10"/>
  <c r="O10"/>
  <c r="M10"/>
  <c r="M82" s="1"/>
  <c r="J10"/>
  <c r="J82" s="1"/>
  <c r="AR9"/>
  <c r="AQ9"/>
  <c r="AH9"/>
  <c r="O26" i="35"/>
  <c r="I14"/>
  <c r="K14" s="1"/>
  <c r="O14"/>
  <c r="K26"/>
  <c r="K24"/>
  <c r="K19"/>
  <c r="K16"/>
  <c r="X15"/>
  <c r="X11" s="1"/>
  <c r="AP15"/>
  <c r="I15"/>
  <c r="K15" s="1"/>
  <c r="AP14"/>
  <c r="G80"/>
  <c r="F80"/>
  <c r="AP79"/>
  <c r="AP77" s="1"/>
  <c r="AM79"/>
  <c r="AM77" s="1"/>
  <c r="AJ79"/>
  <c r="AJ64" s="1"/>
  <c r="AG79"/>
  <c r="AG64" s="1"/>
  <c r="AD79"/>
  <c r="AF79" s="1"/>
  <c r="AA79"/>
  <c r="AA77" s="1"/>
  <c r="X79"/>
  <c r="Z79" s="1"/>
  <c r="U79"/>
  <c r="U64" s="1"/>
  <c r="O77"/>
  <c r="N79"/>
  <c r="G79"/>
  <c r="G78"/>
  <c r="F78"/>
  <c r="AO77"/>
  <c r="AN77"/>
  <c r="AL77"/>
  <c r="AK77"/>
  <c r="AJ77"/>
  <c r="AH77"/>
  <c r="AG77"/>
  <c r="AE77"/>
  <c r="AB77"/>
  <c r="Y77"/>
  <c r="X77"/>
  <c r="V77"/>
  <c r="U77"/>
  <c r="S77"/>
  <c r="P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I71"/>
  <c r="AF71"/>
  <c r="AC71"/>
  <c r="Z71"/>
  <c r="W71"/>
  <c r="T71"/>
  <c r="Q71"/>
  <c r="N71"/>
  <c r="G71"/>
  <c r="F71"/>
  <c r="H71" s="1"/>
  <c r="G70"/>
  <c r="F70"/>
  <c r="F63" s="1"/>
  <c r="AP69"/>
  <c r="AO69"/>
  <c r="AN69"/>
  <c r="AM69"/>
  <c r="AL69"/>
  <c r="AK69"/>
  <c r="AJ69"/>
  <c r="AH69"/>
  <c r="AI69" s="1"/>
  <c r="AG69"/>
  <c r="AE69"/>
  <c r="AF69" s="1"/>
  <c r="AD69"/>
  <c r="AB69"/>
  <c r="AA69"/>
  <c r="Y69"/>
  <c r="Z69" s="1"/>
  <c r="X69"/>
  <c r="V69"/>
  <c r="W69" s="1"/>
  <c r="U69"/>
  <c r="S69"/>
  <c r="T69" s="1"/>
  <c r="R69"/>
  <c r="P69"/>
  <c r="O69"/>
  <c r="M69"/>
  <c r="N69" s="1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L64"/>
  <c r="AK64"/>
  <c r="AH64"/>
  <c r="AE64"/>
  <c r="AD64"/>
  <c r="AB64"/>
  <c r="Y64"/>
  <c r="X64"/>
  <c r="V64"/>
  <c r="S64"/>
  <c r="P64"/>
  <c r="M64"/>
  <c r="J64"/>
  <c r="I64"/>
  <c r="AR63"/>
  <c r="AQ63"/>
  <c r="AP63"/>
  <c r="AP62" s="1"/>
  <c r="AO63"/>
  <c r="AN63"/>
  <c r="AN62" s="1"/>
  <c r="AM63"/>
  <c r="AL63"/>
  <c r="AL62" s="1"/>
  <c r="AK63"/>
  <c r="AJ63"/>
  <c r="AI63"/>
  <c r="AH63"/>
  <c r="AH62" s="1"/>
  <c r="AG63"/>
  <c r="AF63"/>
  <c r="AE63"/>
  <c r="AE62" s="1"/>
  <c r="AD63"/>
  <c r="AD62" s="1"/>
  <c r="AC63"/>
  <c r="AB63"/>
  <c r="AB62" s="1"/>
  <c r="AA63"/>
  <c r="Z63"/>
  <c r="Y63"/>
  <c r="X63"/>
  <c r="X62" s="1"/>
  <c r="W63"/>
  <c r="V63"/>
  <c r="V62" s="1"/>
  <c r="U63"/>
  <c r="S63"/>
  <c r="S62" s="1"/>
  <c r="R63"/>
  <c r="P63"/>
  <c r="P62" s="1"/>
  <c r="O63"/>
  <c r="N63"/>
  <c r="M63"/>
  <c r="L63"/>
  <c r="J63"/>
  <c r="I63"/>
  <c r="I62" s="1"/>
  <c r="AR62"/>
  <c r="AQ62"/>
  <c r="AO62"/>
  <c r="AK62"/>
  <c r="Y62"/>
  <c r="J62"/>
  <c r="G59"/>
  <c r="G51" s="1"/>
  <c r="F59"/>
  <c r="F51" s="1"/>
  <c r="AI58"/>
  <c r="AI50" s="1"/>
  <c r="Z58"/>
  <c r="Z56" s="1"/>
  <c r="Q58"/>
  <c r="G58"/>
  <c r="H58" s="1"/>
  <c r="F58"/>
  <c r="G57"/>
  <c r="G56" s="1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Q50" s="1"/>
  <c r="M50"/>
  <c r="L50"/>
  <c r="J50"/>
  <c r="I50"/>
  <c r="F50"/>
  <c r="AR49"/>
  <c r="AQ49"/>
  <c r="AP49"/>
  <c r="AO49"/>
  <c r="AN49"/>
  <c r="AM49"/>
  <c r="AL49"/>
  <c r="AK49"/>
  <c r="AJ49"/>
  <c r="AI49"/>
  <c r="AH49"/>
  <c r="AG49"/>
  <c r="AF49"/>
  <c r="AF48" s="1"/>
  <c r="AE49"/>
  <c r="AD49"/>
  <c r="AC49"/>
  <c r="AB49"/>
  <c r="AA49"/>
  <c r="Z49"/>
  <c r="Y49"/>
  <c r="X49"/>
  <c r="W49"/>
  <c r="V49"/>
  <c r="U49"/>
  <c r="T49"/>
  <c r="S49"/>
  <c r="R49"/>
  <c r="P49"/>
  <c r="P48" s="1"/>
  <c r="O49"/>
  <c r="M49"/>
  <c r="M48" s="1"/>
  <c r="L49"/>
  <c r="J49"/>
  <c r="I49"/>
  <c r="G49"/>
  <c r="AN48"/>
  <c r="X48"/>
  <c r="J48"/>
  <c r="G45"/>
  <c r="G36" s="1"/>
  <c r="F45"/>
  <c r="AI44"/>
  <c r="AF44"/>
  <c r="AC44"/>
  <c r="AC35" s="1"/>
  <c r="Z44"/>
  <c r="Z35" s="1"/>
  <c r="W44"/>
  <c r="T44"/>
  <c r="Q44"/>
  <c r="N44"/>
  <c r="K44"/>
  <c r="G44"/>
  <c r="F44"/>
  <c r="AI43"/>
  <c r="AI34" s="1"/>
  <c r="AF43"/>
  <c r="AC43"/>
  <c r="AC34" s="1"/>
  <c r="Z43"/>
  <c r="Z34" s="1"/>
  <c r="W43"/>
  <c r="W34" s="1"/>
  <c r="T43"/>
  <c r="Q43"/>
  <c r="N43"/>
  <c r="K43"/>
  <c r="G43"/>
  <c r="F43"/>
  <c r="F34" s="1"/>
  <c r="AP42"/>
  <c r="AO42"/>
  <c r="AN42"/>
  <c r="AM42"/>
  <c r="AL42"/>
  <c r="AK42"/>
  <c r="AJ42"/>
  <c r="AH42"/>
  <c r="AG42"/>
  <c r="AE42"/>
  <c r="AF42" s="1"/>
  <c r="AD42"/>
  <c r="AB42"/>
  <c r="AA42"/>
  <c r="Y42"/>
  <c r="Z42" s="1"/>
  <c r="X42"/>
  <c r="V42"/>
  <c r="W42" s="1"/>
  <c r="U42"/>
  <c r="S42"/>
  <c r="T42" s="1"/>
  <c r="R42"/>
  <c r="P42"/>
  <c r="O42"/>
  <c r="M42"/>
  <c r="N42" s="1"/>
  <c r="L42"/>
  <c r="J42"/>
  <c r="I42"/>
  <c r="F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I35"/>
  <c r="AH35"/>
  <c r="AG35"/>
  <c r="AE35"/>
  <c r="AD35"/>
  <c r="AB35"/>
  <c r="AA35"/>
  <c r="Y35"/>
  <c r="X35"/>
  <c r="W35"/>
  <c r="V35"/>
  <c r="U35"/>
  <c r="S35"/>
  <c r="R35"/>
  <c r="P35"/>
  <c r="O35"/>
  <c r="M35"/>
  <c r="L35"/>
  <c r="J35"/>
  <c r="I35"/>
  <c r="F35"/>
  <c r="AR34"/>
  <c r="AR33" s="1"/>
  <c r="AQ34"/>
  <c r="AP34"/>
  <c r="AP33" s="1"/>
  <c r="AO34"/>
  <c r="AN34"/>
  <c r="AN33" s="1"/>
  <c r="AM34"/>
  <c r="AL34"/>
  <c r="AL33" s="1"/>
  <c r="AK34"/>
  <c r="AJ34"/>
  <c r="AJ33" s="1"/>
  <c r="AH34"/>
  <c r="AG34"/>
  <c r="AE34"/>
  <c r="AD34"/>
  <c r="AF34" s="1"/>
  <c r="AB34"/>
  <c r="AB33" s="1"/>
  <c r="AA34"/>
  <c r="Y34"/>
  <c r="Y33" s="1"/>
  <c r="X34"/>
  <c r="X33" s="1"/>
  <c r="V34"/>
  <c r="U34"/>
  <c r="S34"/>
  <c r="S33" s="1"/>
  <c r="R34"/>
  <c r="P34"/>
  <c r="P33" s="1"/>
  <c r="O34"/>
  <c r="M34"/>
  <c r="M33" s="1"/>
  <c r="L34"/>
  <c r="J34"/>
  <c r="I34"/>
  <c r="AQ33"/>
  <c r="AM33"/>
  <c r="AH33"/>
  <c r="V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G26"/>
  <c r="AG25" s="1"/>
  <c r="AF26"/>
  <c r="AC26"/>
  <c r="AC25" s="1"/>
  <c r="Z26"/>
  <c r="G26"/>
  <c r="AR25"/>
  <c r="AQ25"/>
  <c r="AP25"/>
  <c r="AO25"/>
  <c r="AN25"/>
  <c r="AM25"/>
  <c r="AL25"/>
  <c r="AK25"/>
  <c r="AJ25"/>
  <c r="AH25"/>
  <c r="AE25"/>
  <c r="AD25"/>
  <c r="AB25"/>
  <c r="AA25"/>
  <c r="Z25"/>
  <c r="Y25"/>
  <c r="X25"/>
  <c r="W25"/>
  <c r="V25"/>
  <c r="U25"/>
  <c r="S25"/>
  <c r="R25"/>
  <c r="P25"/>
  <c r="M25"/>
  <c r="L25"/>
  <c r="J25"/>
  <c r="I25"/>
  <c r="G24"/>
  <c r="F24"/>
  <c r="G23"/>
  <c r="F23"/>
  <c r="F22" s="1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S22"/>
  <c r="R22"/>
  <c r="T22" s="1"/>
  <c r="P22"/>
  <c r="O22"/>
  <c r="M22"/>
  <c r="L22"/>
  <c r="J22"/>
  <c r="I22"/>
  <c r="G20"/>
  <c r="F20"/>
  <c r="G19"/>
  <c r="F19"/>
  <c r="G18"/>
  <c r="G17" s="1"/>
  <c r="F18"/>
  <c r="F17" s="1"/>
  <c r="AR17"/>
  <c r="AQ17"/>
  <c r="AP17"/>
  <c r="AO17"/>
  <c r="AN17"/>
  <c r="AM17"/>
  <c r="AL17"/>
  <c r="AK17"/>
  <c r="AJ17"/>
  <c r="AI17"/>
  <c r="AH17"/>
  <c r="AG17"/>
  <c r="AE17"/>
  <c r="AD17"/>
  <c r="AF17" s="1"/>
  <c r="AC17"/>
  <c r="AB17"/>
  <c r="AA17"/>
  <c r="Y17"/>
  <c r="Z17" s="1"/>
  <c r="X17"/>
  <c r="V17"/>
  <c r="W17" s="1"/>
  <c r="U17"/>
  <c r="S17"/>
  <c r="R17"/>
  <c r="P17"/>
  <c r="Q17" s="1"/>
  <c r="O17"/>
  <c r="M17"/>
  <c r="N17" s="1"/>
  <c r="L17"/>
  <c r="J17"/>
  <c r="I17"/>
  <c r="AD16"/>
  <c r="F16" s="1"/>
  <c r="F12" s="1"/>
  <c r="G16"/>
  <c r="AM15"/>
  <c r="AJ15"/>
  <c r="AG15"/>
  <c r="AD15"/>
  <c r="AF15" s="1"/>
  <c r="AC15"/>
  <c r="AC13" s="1"/>
  <c r="AA15"/>
  <c r="Z15"/>
  <c r="U15"/>
  <c r="W15" s="1"/>
  <c r="R15"/>
  <c r="T15" s="1"/>
  <c r="O15"/>
  <c r="O13" s="1"/>
  <c r="L15"/>
  <c r="N15" s="1"/>
  <c r="G15"/>
  <c r="AM14"/>
  <c r="AJ14"/>
  <c r="AJ13" s="1"/>
  <c r="AG14"/>
  <c r="AD14"/>
  <c r="AA14"/>
  <c r="X14"/>
  <c r="U14"/>
  <c r="U13" s="1"/>
  <c r="R14"/>
  <c r="R13" s="1"/>
  <c r="L14"/>
  <c r="L13" s="1"/>
  <c r="G14"/>
  <c r="G13" s="1"/>
  <c r="AR13"/>
  <c r="AQ13"/>
  <c r="AO13"/>
  <c r="AN13"/>
  <c r="AL13"/>
  <c r="AK13"/>
  <c r="AH13"/>
  <c r="AE13"/>
  <c r="AB13"/>
  <c r="Y13"/>
  <c r="X13"/>
  <c r="V13"/>
  <c r="S13"/>
  <c r="P13"/>
  <c r="M13"/>
  <c r="J13"/>
  <c r="AR12"/>
  <c r="AR84" s="1"/>
  <c r="AQ12"/>
  <c r="AP12"/>
  <c r="AP84" s="1"/>
  <c r="AO12"/>
  <c r="AN12"/>
  <c r="AN84" s="1"/>
  <c r="AM12"/>
  <c r="AL12"/>
  <c r="AL84" s="1"/>
  <c r="AK12"/>
  <c r="AJ12"/>
  <c r="AJ84" s="1"/>
  <c r="AI12"/>
  <c r="AH12"/>
  <c r="AH84" s="1"/>
  <c r="AG12"/>
  <c r="AE12"/>
  <c r="AE84" s="1"/>
  <c r="AC12"/>
  <c r="AC84" s="1"/>
  <c r="AB12"/>
  <c r="AA12"/>
  <c r="AA84" s="1"/>
  <c r="Z12"/>
  <c r="Y12"/>
  <c r="Y84" s="1"/>
  <c r="X12"/>
  <c r="V12"/>
  <c r="V84" s="1"/>
  <c r="U12"/>
  <c r="S12"/>
  <c r="S84" s="1"/>
  <c r="R12"/>
  <c r="P12"/>
  <c r="P84" s="1"/>
  <c r="O12"/>
  <c r="O84" s="1"/>
  <c r="M12"/>
  <c r="M84" s="1"/>
  <c r="L12"/>
  <c r="J12"/>
  <c r="J84" s="1"/>
  <c r="I12"/>
  <c r="G12"/>
  <c r="AR11"/>
  <c r="AQ11"/>
  <c r="AQ83" s="1"/>
  <c r="AP11"/>
  <c r="AO11"/>
  <c r="AO83" s="1"/>
  <c r="AN11"/>
  <c r="AM11"/>
  <c r="AL11"/>
  <c r="AL83" s="1"/>
  <c r="AK11"/>
  <c r="AK83" s="1"/>
  <c r="AJ11"/>
  <c r="AI11"/>
  <c r="AH11"/>
  <c r="AG11"/>
  <c r="AE11"/>
  <c r="AE83" s="1"/>
  <c r="AD11"/>
  <c r="AD83" s="1"/>
  <c r="AB11"/>
  <c r="AB83" s="1"/>
  <c r="AA11"/>
  <c r="Y11"/>
  <c r="Y83" s="1"/>
  <c r="V11"/>
  <c r="U11"/>
  <c r="U83" s="1"/>
  <c r="S11"/>
  <c r="R11"/>
  <c r="P11"/>
  <c r="P83" s="1"/>
  <c r="O11"/>
  <c r="M11"/>
  <c r="L11"/>
  <c r="J11"/>
  <c r="AR10"/>
  <c r="AR82" s="1"/>
  <c r="AR81" s="1"/>
  <c r="AQ10"/>
  <c r="AP10"/>
  <c r="AP82" s="1"/>
  <c r="AO10"/>
  <c r="AN10"/>
  <c r="AN82" s="1"/>
  <c r="AM10"/>
  <c r="AL10"/>
  <c r="AL82" s="1"/>
  <c r="AK10"/>
  <c r="AJ10"/>
  <c r="AJ82" s="1"/>
  <c r="AH10"/>
  <c r="AG10"/>
  <c r="AG82" s="1"/>
  <c r="AE10"/>
  <c r="AD10"/>
  <c r="AD82" s="1"/>
  <c r="AC10"/>
  <c r="AB10"/>
  <c r="AB82" s="1"/>
  <c r="AA10"/>
  <c r="Z10"/>
  <c r="Z82" s="1"/>
  <c r="Y10"/>
  <c r="X10"/>
  <c r="X82" s="1"/>
  <c r="V10"/>
  <c r="U10"/>
  <c r="U82" s="1"/>
  <c r="S10"/>
  <c r="R10"/>
  <c r="R82" s="1"/>
  <c r="P10"/>
  <c r="O10"/>
  <c r="O82" s="1"/>
  <c r="M10"/>
  <c r="L10"/>
  <c r="L82" s="1"/>
  <c r="J10"/>
  <c r="G10"/>
  <c r="AR9"/>
  <c r="AQ9"/>
  <c r="AH9"/>
  <c r="V9"/>
  <c r="AP79" i="34"/>
  <c r="AJ15"/>
  <c r="AG15"/>
  <c r="X15"/>
  <c r="O15"/>
  <c r="AP14"/>
  <c r="AG14"/>
  <c r="X14"/>
  <c r="O14"/>
  <c r="AJ14"/>
  <c r="AD14"/>
  <c r="AA14"/>
  <c r="U14"/>
  <c r="R14"/>
  <c r="L14"/>
  <c r="AM14"/>
  <c r="I14"/>
  <c r="Z77" i="35" l="1"/>
  <c r="Z64"/>
  <c r="AG13"/>
  <c r="AM13"/>
  <c r="K25"/>
  <c r="O33"/>
  <c r="AB48"/>
  <c r="AJ48"/>
  <c r="AR48"/>
  <c r="Z62"/>
  <c r="S33" i="37"/>
  <c r="L48"/>
  <c r="R48"/>
  <c r="Z62"/>
  <c r="AB62"/>
  <c r="Q84" i="35"/>
  <c r="K34"/>
  <c r="AA33"/>
  <c r="R33"/>
  <c r="AE33"/>
  <c r="AI42"/>
  <c r="H44"/>
  <c r="M62"/>
  <c r="G65"/>
  <c r="W10" i="37"/>
  <c r="W82" s="1"/>
  <c r="K34"/>
  <c r="AF34"/>
  <c r="T35"/>
  <c r="AE33"/>
  <c r="AI56"/>
  <c r="P62"/>
  <c r="AN62"/>
  <c r="W69"/>
  <c r="Z69"/>
  <c r="AI69"/>
  <c r="G10"/>
  <c r="AJ62" i="35"/>
  <c r="AK33" i="37"/>
  <c r="AM33"/>
  <c r="AO33"/>
  <c r="R9" i="35"/>
  <c r="AL9"/>
  <c r="J82"/>
  <c r="M82"/>
  <c r="P82"/>
  <c r="S82"/>
  <c r="V82"/>
  <c r="Y82"/>
  <c r="Y81" s="1"/>
  <c r="AA82"/>
  <c r="AC82"/>
  <c r="AE82"/>
  <c r="AH82"/>
  <c r="AK82"/>
  <c r="AM82"/>
  <c r="AO82"/>
  <c r="AQ82"/>
  <c r="M83"/>
  <c r="S83"/>
  <c r="V83"/>
  <c r="AC11"/>
  <c r="AF83"/>
  <c r="AH83"/>
  <c r="AJ83"/>
  <c r="AN83"/>
  <c r="AP83"/>
  <c r="AR83"/>
  <c r="I84"/>
  <c r="L84"/>
  <c r="R84"/>
  <c r="U84"/>
  <c r="X84"/>
  <c r="Z84"/>
  <c r="AB84"/>
  <c r="AD12"/>
  <c r="AD84" s="1"/>
  <c r="AD81" s="1"/>
  <c r="AG84"/>
  <c r="AI84"/>
  <c r="AK84"/>
  <c r="AM84"/>
  <c r="AO84"/>
  <c r="AQ84"/>
  <c r="Q15"/>
  <c r="T17"/>
  <c r="K22"/>
  <c r="N22"/>
  <c r="Q22"/>
  <c r="W22"/>
  <c r="AF22"/>
  <c r="H29"/>
  <c r="AD33"/>
  <c r="AF33" s="1"/>
  <c r="I33"/>
  <c r="L33"/>
  <c r="N33" s="1"/>
  <c r="T34"/>
  <c r="AK33"/>
  <c r="AO33"/>
  <c r="N35"/>
  <c r="Q42"/>
  <c r="AC42"/>
  <c r="L48"/>
  <c r="O48"/>
  <c r="R48"/>
  <c r="V48"/>
  <c r="Z48"/>
  <c r="AD48"/>
  <c r="AH48"/>
  <c r="AL48"/>
  <c r="AP48"/>
  <c r="G50"/>
  <c r="H50" s="1"/>
  <c r="U48"/>
  <c r="Y48"/>
  <c r="AC48"/>
  <c r="AG48"/>
  <c r="AK48"/>
  <c r="AO48"/>
  <c r="Q56"/>
  <c r="F56"/>
  <c r="H56" s="1"/>
  <c r="Q69"/>
  <c r="AC69"/>
  <c r="H75"/>
  <c r="V9" i="37"/>
  <c r="AL9"/>
  <c r="L10"/>
  <c r="N10" s="1"/>
  <c r="O82"/>
  <c r="S82"/>
  <c r="AA10"/>
  <c r="AA82" s="1"/>
  <c r="AE82"/>
  <c r="AM82"/>
  <c r="V83"/>
  <c r="AD83"/>
  <c r="AH83"/>
  <c r="AJ83"/>
  <c r="AL83"/>
  <c r="AN83"/>
  <c r="AQ83"/>
  <c r="I84"/>
  <c r="L84"/>
  <c r="O84"/>
  <c r="T12"/>
  <c r="U84"/>
  <c r="X84"/>
  <c r="AB84"/>
  <c r="AE84"/>
  <c r="AJ84"/>
  <c r="AN84"/>
  <c r="AR84"/>
  <c r="L13"/>
  <c r="F14"/>
  <c r="H14" s="1"/>
  <c r="K17"/>
  <c r="Q17"/>
  <c r="T17"/>
  <c r="W17"/>
  <c r="Z17"/>
  <c r="Q22"/>
  <c r="T22"/>
  <c r="AF22"/>
  <c r="H26"/>
  <c r="N34"/>
  <c r="T34"/>
  <c r="AN33"/>
  <c r="K35"/>
  <c r="Q35"/>
  <c r="AF35"/>
  <c r="K42"/>
  <c r="Z42"/>
  <c r="H43"/>
  <c r="AC69"/>
  <c r="AP69"/>
  <c r="N77"/>
  <c r="AF77"/>
  <c r="AJ81" i="35"/>
  <c r="AN81"/>
  <c r="K84"/>
  <c r="H19" i="37"/>
  <c r="N10" i="35"/>
  <c r="T11"/>
  <c r="AF11"/>
  <c r="Q12"/>
  <c r="T84"/>
  <c r="AF12"/>
  <c r="T13"/>
  <c r="AD13"/>
  <c r="AF13" s="1"/>
  <c r="Q13"/>
  <c r="AA13"/>
  <c r="AF25"/>
  <c r="T33"/>
  <c r="Q34"/>
  <c r="U33"/>
  <c r="AG33"/>
  <c r="Q35"/>
  <c r="T35"/>
  <c r="AF35"/>
  <c r="H43"/>
  <c r="Z33"/>
  <c r="S48"/>
  <c r="W48"/>
  <c r="AA48"/>
  <c r="AE48"/>
  <c r="AM48"/>
  <c r="AQ48"/>
  <c r="I48"/>
  <c r="AI56"/>
  <c r="AF62"/>
  <c r="L62"/>
  <c r="AF64"/>
  <c r="G69"/>
  <c r="G64"/>
  <c r="F65"/>
  <c r="F73"/>
  <c r="W77"/>
  <c r="AD77"/>
  <c r="AF77" s="1"/>
  <c r="AI77"/>
  <c r="G77"/>
  <c r="Q77"/>
  <c r="AC77"/>
  <c r="X83"/>
  <c r="AF11" i="37"/>
  <c r="K12"/>
  <c r="W13"/>
  <c r="AF13"/>
  <c r="F16"/>
  <c r="F12" s="1"/>
  <c r="F17"/>
  <c r="N22"/>
  <c r="G22"/>
  <c r="G12"/>
  <c r="J33"/>
  <c r="R33"/>
  <c r="L33"/>
  <c r="X33"/>
  <c r="I33"/>
  <c r="K33" s="1"/>
  <c r="U33"/>
  <c r="AC33"/>
  <c r="AG33"/>
  <c r="J84"/>
  <c r="G42"/>
  <c r="W33"/>
  <c r="AI33"/>
  <c r="I48"/>
  <c r="X48"/>
  <c r="AB48"/>
  <c r="AF48"/>
  <c r="AJ48"/>
  <c r="AN48"/>
  <c r="AR48"/>
  <c r="R84"/>
  <c r="V48"/>
  <c r="Z48"/>
  <c r="AD48"/>
  <c r="AH48"/>
  <c r="AL48"/>
  <c r="AP48"/>
  <c r="Q56"/>
  <c r="I62"/>
  <c r="J83"/>
  <c r="V62"/>
  <c r="AA62"/>
  <c r="AD62"/>
  <c r="AH62"/>
  <c r="AL62"/>
  <c r="N69"/>
  <c r="T69"/>
  <c r="AF69"/>
  <c r="H75"/>
  <c r="AC77"/>
  <c r="F63"/>
  <c r="G77"/>
  <c r="W77"/>
  <c r="AI77"/>
  <c r="W10" i="35"/>
  <c r="W11"/>
  <c r="T12"/>
  <c r="W13"/>
  <c r="AI25"/>
  <c r="Q33"/>
  <c r="F33"/>
  <c r="W33"/>
  <c r="AI33"/>
  <c r="Q48"/>
  <c r="H73"/>
  <c r="N64"/>
  <c r="N62" s="1"/>
  <c r="U62"/>
  <c r="AG62"/>
  <c r="AQ81" i="37"/>
  <c r="AF83"/>
  <c r="F22"/>
  <c r="H29"/>
  <c r="T33"/>
  <c r="AB82"/>
  <c r="AJ82"/>
  <c r="AR82"/>
  <c r="AR81" s="1"/>
  <c r="Y33"/>
  <c r="V84"/>
  <c r="V81" s="1"/>
  <c r="Z84"/>
  <c r="AD33"/>
  <c r="AH84"/>
  <c r="AL84"/>
  <c r="AP33"/>
  <c r="U48"/>
  <c r="Y48"/>
  <c r="AC48"/>
  <c r="AG48"/>
  <c r="AK48"/>
  <c r="AO48"/>
  <c r="F48"/>
  <c r="Y82"/>
  <c r="AK82"/>
  <c r="AI62"/>
  <c r="AM62"/>
  <c r="S84"/>
  <c r="W64"/>
  <c r="W62" s="1"/>
  <c r="F65"/>
  <c r="F69"/>
  <c r="H69" s="1"/>
  <c r="M62"/>
  <c r="Q77"/>
  <c r="Q64"/>
  <c r="L83"/>
  <c r="Q69"/>
  <c r="N64"/>
  <c r="N62" s="1"/>
  <c r="M33"/>
  <c r="N33" s="1"/>
  <c r="G33"/>
  <c r="H44"/>
  <c r="G82"/>
  <c r="AF25"/>
  <c r="G25"/>
  <c r="F25"/>
  <c r="J9"/>
  <c r="N17"/>
  <c r="G17"/>
  <c r="H17" s="1"/>
  <c r="N11"/>
  <c r="N13"/>
  <c r="AM81"/>
  <c r="Q84"/>
  <c r="P82"/>
  <c r="P81" s="1"/>
  <c r="Q12"/>
  <c r="Q10"/>
  <c r="G13"/>
  <c r="O13"/>
  <c r="Q13" s="1"/>
  <c r="R11"/>
  <c r="T11" s="1"/>
  <c r="R13"/>
  <c r="T13" s="1"/>
  <c r="O62"/>
  <c r="Q62" s="1"/>
  <c r="AP64"/>
  <c r="AP62" s="1"/>
  <c r="O48"/>
  <c r="Q48" s="1"/>
  <c r="Q50"/>
  <c r="F56"/>
  <c r="H56" s="1"/>
  <c r="R64"/>
  <c r="T79"/>
  <c r="F79"/>
  <c r="F77" s="1"/>
  <c r="H77" s="1"/>
  <c r="T77"/>
  <c r="T64"/>
  <c r="R64" i="35"/>
  <c r="R62" s="1"/>
  <c r="T62" s="1"/>
  <c r="L83"/>
  <c r="L81" s="1"/>
  <c r="R77"/>
  <c r="T77" s="1"/>
  <c r="J81" i="37"/>
  <c r="AE81"/>
  <c r="Z9"/>
  <c r="Z83"/>
  <c r="Z81" s="1"/>
  <c r="AG9"/>
  <c r="G84"/>
  <c r="S81"/>
  <c r="F10"/>
  <c r="H10" s="1"/>
  <c r="AD84"/>
  <c r="AF12"/>
  <c r="H34"/>
  <c r="AF33"/>
  <c r="AB81"/>
  <c r="AJ81"/>
  <c r="K84"/>
  <c r="T84"/>
  <c r="AI83"/>
  <c r="AI81" s="1"/>
  <c r="N84"/>
  <c r="R82"/>
  <c r="AD82"/>
  <c r="AF82" s="1"/>
  <c r="AD9"/>
  <c r="AP82"/>
  <c r="AP9"/>
  <c r="H50"/>
  <c r="G48"/>
  <c r="H48" s="1"/>
  <c r="AA81"/>
  <c r="AH81"/>
  <c r="AL81"/>
  <c r="Z33"/>
  <c r="AF84"/>
  <c r="U82"/>
  <c r="AG82"/>
  <c r="AO82"/>
  <c r="AK9"/>
  <c r="G11"/>
  <c r="G9" s="1"/>
  <c r="O11"/>
  <c r="O83" s="1"/>
  <c r="Q83" s="1"/>
  <c r="I13"/>
  <c r="K13" s="1"/>
  <c r="AG13"/>
  <c r="AP13"/>
  <c r="V33"/>
  <c r="AH33"/>
  <c r="S62"/>
  <c r="AE62"/>
  <c r="AF62" s="1"/>
  <c r="L82"/>
  <c r="X82"/>
  <c r="X81" s="1"/>
  <c r="AN82"/>
  <c r="AN81" s="1"/>
  <c r="M83"/>
  <c r="N83" s="1"/>
  <c r="AO83"/>
  <c r="AP84"/>
  <c r="S9"/>
  <c r="AA9"/>
  <c r="AE9"/>
  <c r="AI9"/>
  <c r="AM9"/>
  <c r="T10"/>
  <c r="AF10"/>
  <c r="I11"/>
  <c r="U11"/>
  <c r="N12"/>
  <c r="K14"/>
  <c r="F15"/>
  <c r="F13" s="1"/>
  <c r="W15"/>
  <c r="AC15"/>
  <c r="P33"/>
  <c r="Q33" s="1"/>
  <c r="AB33"/>
  <c r="AJ33"/>
  <c r="AR33"/>
  <c r="Q34"/>
  <c r="F35"/>
  <c r="H35" s="1"/>
  <c r="N35"/>
  <c r="H58"/>
  <c r="Y62"/>
  <c r="AK62"/>
  <c r="G64"/>
  <c r="H71"/>
  <c r="G73"/>
  <c r="H73" s="1"/>
  <c r="M9"/>
  <c r="Y9"/>
  <c r="AO9"/>
  <c r="AL33"/>
  <c r="F42"/>
  <c r="H42" s="1"/>
  <c r="Y83"/>
  <c r="Y81" s="1"/>
  <c r="AK83"/>
  <c r="AK81" s="1"/>
  <c r="L9"/>
  <c r="P9"/>
  <c r="X9"/>
  <c r="AB9"/>
  <c r="AJ9"/>
  <c r="AN9"/>
  <c r="I10"/>
  <c r="AC10"/>
  <c r="U64"/>
  <c r="U62" s="1"/>
  <c r="AG64"/>
  <c r="AG83" s="1"/>
  <c r="I10" i="35"/>
  <c r="I82" s="1"/>
  <c r="F14"/>
  <c r="G35"/>
  <c r="H35" s="1"/>
  <c r="J83"/>
  <c r="K35"/>
  <c r="J33"/>
  <c r="G25"/>
  <c r="G22"/>
  <c r="H22" s="1"/>
  <c r="G11"/>
  <c r="G83" s="1"/>
  <c r="J9"/>
  <c r="X81"/>
  <c r="I11"/>
  <c r="F15"/>
  <c r="F11" s="1"/>
  <c r="I13"/>
  <c r="K13" s="1"/>
  <c r="AP9"/>
  <c r="AP13"/>
  <c r="Q82"/>
  <c r="P81"/>
  <c r="F84"/>
  <c r="H12"/>
  <c r="K82"/>
  <c r="J81"/>
  <c r="T82"/>
  <c r="S81"/>
  <c r="N82"/>
  <c r="M81"/>
  <c r="AF82"/>
  <c r="AE81"/>
  <c r="Z13"/>
  <c r="Z11"/>
  <c r="AH81"/>
  <c r="AB81"/>
  <c r="AL81"/>
  <c r="W82"/>
  <c r="AK81"/>
  <c r="AO81"/>
  <c r="AG83"/>
  <c r="AG81" s="1"/>
  <c r="G84"/>
  <c r="N84"/>
  <c r="AF84"/>
  <c r="H17"/>
  <c r="AC33"/>
  <c r="G48"/>
  <c r="AI48"/>
  <c r="K33"/>
  <c r="F13"/>
  <c r="H13" s="1"/>
  <c r="U81"/>
  <c r="AP81"/>
  <c r="U9"/>
  <c r="W9" s="1"/>
  <c r="Y9"/>
  <c r="AG9"/>
  <c r="AO9"/>
  <c r="L9"/>
  <c r="P9"/>
  <c r="X9"/>
  <c r="AB9"/>
  <c r="AJ9"/>
  <c r="AN9"/>
  <c r="Q10"/>
  <c r="N11"/>
  <c r="K12"/>
  <c r="W12"/>
  <c r="W84" s="1"/>
  <c r="O9"/>
  <c r="S9"/>
  <c r="T9" s="1"/>
  <c r="AA9"/>
  <c r="AE9"/>
  <c r="AM9"/>
  <c r="T10"/>
  <c r="AF10"/>
  <c r="Q11"/>
  <c r="N12"/>
  <c r="K17"/>
  <c r="F26"/>
  <c r="AI26"/>
  <c r="AI10" s="1"/>
  <c r="N34"/>
  <c r="G42"/>
  <c r="H42" s="1"/>
  <c r="K42"/>
  <c r="O64"/>
  <c r="AA64"/>
  <c r="AA83" s="1"/>
  <c r="AA81" s="1"/>
  <c r="AM64"/>
  <c r="AM83" s="1"/>
  <c r="AM81" s="1"/>
  <c r="F69"/>
  <c r="H69" s="1"/>
  <c r="N77"/>
  <c r="Q79"/>
  <c r="W79"/>
  <c r="W64" s="1"/>
  <c r="AC79"/>
  <c r="AC64" s="1"/>
  <c r="AC62" s="1"/>
  <c r="AI79"/>
  <c r="AI64" s="1"/>
  <c r="N13"/>
  <c r="M9"/>
  <c r="AC9"/>
  <c r="AK9"/>
  <c r="F49"/>
  <c r="F48" s="1"/>
  <c r="G63"/>
  <c r="G62" s="1"/>
  <c r="F79"/>
  <c r="F64" s="1"/>
  <c r="H64" s="1"/>
  <c r="O25"/>
  <c r="G34"/>
  <c r="AD16" i="34"/>
  <c r="AD12" s="1"/>
  <c r="AQ12"/>
  <c r="AP12"/>
  <c r="AN12"/>
  <c r="AM12"/>
  <c r="AK12"/>
  <c r="AJ12"/>
  <c r="AH12"/>
  <c r="AG12"/>
  <c r="AE12"/>
  <c r="AB12"/>
  <c r="AA12"/>
  <c r="Y12"/>
  <c r="X12"/>
  <c r="V12"/>
  <c r="U12"/>
  <c r="S12"/>
  <c r="R12"/>
  <c r="P12"/>
  <c r="O12"/>
  <c r="M12"/>
  <c r="L12"/>
  <c r="J12"/>
  <c r="I12"/>
  <c r="AQ11"/>
  <c r="AN11"/>
  <c r="AK11"/>
  <c r="AH11"/>
  <c r="AE11"/>
  <c r="AB11"/>
  <c r="Y11"/>
  <c r="V11"/>
  <c r="S11"/>
  <c r="P11"/>
  <c r="M11"/>
  <c r="J11"/>
  <c r="AQ10"/>
  <c r="AN10"/>
  <c r="AK10"/>
  <c r="AH10"/>
  <c r="AE10"/>
  <c r="AB10"/>
  <c r="Y10"/>
  <c r="V10"/>
  <c r="S10"/>
  <c r="P10"/>
  <c r="M10"/>
  <c r="J10"/>
  <c r="AP10"/>
  <c r="AM10"/>
  <c r="AJ10"/>
  <c r="AD10"/>
  <c r="AA10"/>
  <c r="X10"/>
  <c r="U10"/>
  <c r="R10"/>
  <c r="I10"/>
  <c r="H79" i="37" l="1"/>
  <c r="G82" i="35"/>
  <c r="H12" i="37"/>
  <c r="AQ81" i="35"/>
  <c r="AF81"/>
  <c r="AP83" i="37"/>
  <c r="H16"/>
  <c r="V81" i="35"/>
  <c r="AD9"/>
  <c r="AF9" s="1"/>
  <c r="AF9" i="37"/>
  <c r="AI83" i="35"/>
  <c r="AI62"/>
  <c r="AC83"/>
  <c r="AC81" s="1"/>
  <c r="AA62"/>
  <c r="R83"/>
  <c r="T83" s="1"/>
  <c r="N83"/>
  <c r="H25" i="37"/>
  <c r="F84"/>
  <c r="H84" s="1"/>
  <c r="H22"/>
  <c r="L81"/>
  <c r="Q82"/>
  <c r="O9"/>
  <c r="Q9" s="1"/>
  <c r="N9"/>
  <c r="H13"/>
  <c r="R9"/>
  <c r="T9" s="1"/>
  <c r="AP81"/>
  <c r="L86" s="1"/>
  <c r="R62"/>
  <c r="T62" s="1"/>
  <c r="R83"/>
  <c r="T83" s="1"/>
  <c r="F64"/>
  <c r="F62" s="1"/>
  <c r="O81"/>
  <c r="T64" i="35"/>
  <c r="N81"/>
  <c r="G62" i="37"/>
  <c r="U83"/>
  <c r="U81" s="1"/>
  <c r="W11"/>
  <c r="W83" s="1"/>
  <c r="W81" s="1"/>
  <c r="U9"/>
  <c r="W9" s="1"/>
  <c r="I82"/>
  <c r="K10"/>
  <c r="I9"/>
  <c r="K9" s="1"/>
  <c r="AC13"/>
  <c r="AC11"/>
  <c r="AC83" s="1"/>
  <c r="G83"/>
  <c r="AC82"/>
  <c r="I83"/>
  <c r="K83" s="1"/>
  <c r="K11"/>
  <c r="F11"/>
  <c r="H15"/>
  <c r="F82"/>
  <c r="AG62"/>
  <c r="AG81"/>
  <c r="AD81"/>
  <c r="AF81" s="1"/>
  <c r="T82"/>
  <c r="M81"/>
  <c r="N81" s="1"/>
  <c r="Q11"/>
  <c r="AO81"/>
  <c r="N82"/>
  <c r="F33"/>
  <c r="H33" s="1"/>
  <c r="K10" i="35"/>
  <c r="H11"/>
  <c r="G9"/>
  <c r="H15"/>
  <c r="I83"/>
  <c r="K11"/>
  <c r="I9"/>
  <c r="K9" s="1"/>
  <c r="W83"/>
  <c r="W62"/>
  <c r="F25"/>
  <c r="H25" s="1"/>
  <c r="H26"/>
  <c r="Z83"/>
  <c r="Z81" s="1"/>
  <c r="Z9"/>
  <c r="AI82"/>
  <c r="AI81" s="1"/>
  <c r="AI9"/>
  <c r="G81"/>
  <c r="H34"/>
  <c r="G33"/>
  <c r="H33" s="1"/>
  <c r="Q64"/>
  <c r="O62"/>
  <c r="F77"/>
  <c r="H77" s="1"/>
  <c r="AM62"/>
  <c r="F83"/>
  <c r="H83" s="1"/>
  <c r="W81"/>
  <c r="F62"/>
  <c r="H62" s="1"/>
  <c r="Q9"/>
  <c r="H84"/>
  <c r="N9"/>
  <c r="H79"/>
  <c r="F10"/>
  <c r="H48"/>
  <c r="O83"/>
  <c r="O11" i="34"/>
  <c r="U15"/>
  <c r="U11" s="1"/>
  <c r="K86" i="37" l="1"/>
  <c r="Q81"/>
  <c r="AC9"/>
  <c r="R81" i="35"/>
  <c r="T81" s="1"/>
  <c r="H62" i="37"/>
  <c r="F83"/>
  <c r="H83" s="1"/>
  <c r="H64"/>
  <c r="F9"/>
  <c r="H9" s="1"/>
  <c r="H11"/>
  <c r="R81"/>
  <c r="T81" s="1"/>
  <c r="I81"/>
  <c r="K81" s="1"/>
  <c r="K82"/>
  <c r="G81"/>
  <c r="H82"/>
  <c r="AC81"/>
  <c r="K83" i="35"/>
  <c r="I81"/>
  <c r="K81" s="1"/>
  <c r="F9"/>
  <c r="H9" s="1"/>
  <c r="F82"/>
  <c r="H10"/>
  <c r="Q62"/>
  <c r="Q83"/>
  <c r="O81"/>
  <c r="Q81" s="1"/>
  <c r="AP15" i="34"/>
  <c r="AP11" s="1"/>
  <c r="AM15"/>
  <c r="AM11" s="1"/>
  <c r="AJ11"/>
  <c r="AG11"/>
  <c r="AD15"/>
  <c r="AD11" s="1"/>
  <c r="AA15"/>
  <c r="AA11" s="1"/>
  <c r="X11"/>
  <c r="R15"/>
  <c r="R11" s="1"/>
  <c r="L15"/>
  <c r="L11" s="1"/>
  <c r="I15"/>
  <c r="I11" s="1"/>
  <c r="L10"/>
  <c r="AG26"/>
  <c r="AG10" s="1"/>
  <c r="O26"/>
  <c r="J86" i="37" l="1"/>
  <c r="I86"/>
  <c r="F81"/>
  <c r="H81" s="1"/>
  <c r="F81" i="35"/>
  <c r="H81" s="1"/>
  <c r="H82"/>
  <c r="O10" i="34"/>
  <c r="I25"/>
  <c r="L25"/>
  <c r="O25"/>
  <c r="R25"/>
  <c r="U25"/>
  <c r="X25"/>
  <c r="Y25"/>
  <c r="AA25"/>
  <c r="AD25"/>
  <c r="AE25"/>
  <c r="AG25"/>
  <c r="AH25"/>
  <c r="AJ25"/>
  <c r="AM25"/>
  <c r="AP25"/>
  <c r="AG79" l="1"/>
  <c r="X79"/>
  <c r="Z79" s="1"/>
  <c r="O79"/>
  <c r="AM79"/>
  <c r="AJ79"/>
  <c r="AD79"/>
  <c r="AA79"/>
  <c r="U79"/>
  <c r="R79"/>
  <c r="L79"/>
  <c r="AV21"/>
  <c r="AU21"/>
  <c r="AW21" l="1"/>
  <c r="AI26"/>
  <c r="AP22"/>
  <c r="AI22"/>
  <c r="AG17"/>
  <c r="AP13"/>
  <c r="AG13"/>
  <c r="AV79"/>
  <c r="AV71"/>
  <c r="AV58"/>
  <c r="AV43"/>
  <c r="AV26"/>
  <c r="AV23"/>
  <c r="AV20"/>
  <c r="AU58"/>
  <c r="AI79"/>
  <c r="AI71"/>
  <c r="AI58"/>
  <c r="AI50" s="1"/>
  <c r="AI44"/>
  <c r="AI35" s="1"/>
  <c r="AI43"/>
  <c r="AI34" s="1"/>
  <c r="AG42"/>
  <c r="G80"/>
  <c r="F80"/>
  <c r="AU79"/>
  <c r="AC79"/>
  <c r="Z77"/>
  <c r="W79"/>
  <c r="T79"/>
  <c r="Q79"/>
  <c r="N79"/>
  <c r="G79"/>
  <c r="G78"/>
  <c r="F78"/>
  <c r="AO77"/>
  <c r="AN77"/>
  <c r="AM77"/>
  <c r="AL77"/>
  <c r="AK77"/>
  <c r="AJ77"/>
  <c r="AH77"/>
  <c r="AG77"/>
  <c r="AE77"/>
  <c r="AB77"/>
  <c r="AA77"/>
  <c r="Y77"/>
  <c r="X77"/>
  <c r="V77"/>
  <c r="U77"/>
  <c r="S77"/>
  <c r="R77"/>
  <c r="P77"/>
  <c r="O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F71"/>
  <c r="AC71"/>
  <c r="Z71"/>
  <c r="W71"/>
  <c r="T71"/>
  <c r="Q71"/>
  <c r="N71"/>
  <c r="G71"/>
  <c r="G70"/>
  <c r="F70"/>
  <c r="AP69"/>
  <c r="AO69"/>
  <c r="AN69"/>
  <c r="AM69"/>
  <c r="AL69"/>
  <c r="AK69"/>
  <c r="AH69"/>
  <c r="AG69"/>
  <c r="AE69"/>
  <c r="AD69"/>
  <c r="AB69"/>
  <c r="AA69"/>
  <c r="Y69"/>
  <c r="X69"/>
  <c r="V69"/>
  <c r="U69"/>
  <c r="S69"/>
  <c r="R69"/>
  <c r="P69"/>
  <c r="O69"/>
  <c r="M69"/>
  <c r="L69"/>
  <c r="J69"/>
  <c r="AV69" s="1"/>
  <c r="I69"/>
  <c r="AU69" s="1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M64"/>
  <c r="AL64"/>
  <c r="AK64"/>
  <c r="AH64"/>
  <c r="AG64"/>
  <c r="AE64"/>
  <c r="AB64"/>
  <c r="AA64"/>
  <c r="Y64"/>
  <c r="X64"/>
  <c r="V64"/>
  <c r="U64"/>
  <c r="S64"/>
  <c r="R64"/>
  <c r="P64"/>
  <c r="O64"/>
  <c r="M64"/>
  <c r="J64"/>
  <c r="I64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S63"/>
  <c r="R63"/>
  <c r="P63"/>
  <c r="O63"/>
  <c r="N63"/>
  <c r="M63"/>
  <c r="L63"/>
  <c r="J63"/>
  <c r="I63"/>
  <c r="AR62"/>
  <c r="AQ62"/>
  <c r="G59"/>
  <c r="G51" s="1"/>
  <c r="F59"/>
  <c r="F51" s="1"/>
  <c r="Z58"/>
  <c r="Z50" s="1"/>
  <c r="W50"/>
  <c r="Q58"/>
  <c r="G58"/>
  <c r="F58"/>
  <c r="F50" s="1"/>
  <c r="G57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Y50"/>
  <c r="X50"/>
  <c r="V50"/>
  <c r="U50"/>
  <c r="T50"/>
  <c r="S50"/>
  <c r="R50"/>
  <c r="P50"/>
  <c r="O50"/>
  <c r="M50"/>
  <c r="L50"/>
  <c r="J50"/>
  <c r="I50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P49"/>
  <c r="O49"/>
  <c r="M49"/>
  <c r="L49"/>
  <c r="J49"/>
  <c r="I49"/>
  <c r="G49"/>
  <c r="G45"/>
  <c r="G36" s="1"/>
  <c r="F45"/>
  <c r="F36" s="1"/>
  <c r="AF44"/>
  <c r="AC44"/>
  <c r="AC35" s="1"/>
  <c r="Z44"/>
  <c r="Z35" s="1"/>
  <c r="W44"/>
  <c r="W35" s="1"/>
  <c r="AV44"/>
  <c r="Q44"/>
  <c r="N44"/>
  <c r="K44"/>
  <c r="AF43"/>
  <c r="AC43"/>
  <c r="AC34" s="1"/>
  <c r="Z43"/>
  <c r="Z34" s="1"/>
  <c r="W43"/>
  <c r="W34" s="1"/>
  <c r="T43"/>
  <c r="O42"/>
  <c r="N43"/>
  <c r="K43"/>
  <c r="G43"/>
  <c r="G34" s="1"/>
  <c r="AP42"/>
  <c r="AO42"/>
  <c r="AN42"/>
  <c r="AM42"/>
  <c r="AL42"/>
  <c r="AK42"/>
  <c r="AJ42"/>
  <c r="AH42"/>
  <c r="AE42"/>
  <c r="AD42"/>
  <c r="AB42"/>
  <c r="AA42"/>
  <c r="Y42"/>
  <c r="V42"/>
  <c r="U42"/>
  <c r="P42"/>
  <c r="M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AR35"/>
  <c r="AQ35"/>
  <c r="AP35"/>
  <c r="AO35"/>
  <c r="AN35"/>
  <c r="AM35"/>
  <c r="AL35"/>
  <c r="AK35"/>
  <c r="AJ35"/>
  <c r="AH35"/>
  <c r="AG35"/>
  <c r="AE35"/>
  <c r="AD35"/>
  <c r="AB35"/>
  <c r="AA35"/>
  <c r="Y35"/>
  <c r="V35"/>
  <c r="U35"/>
  <c r="P35"/>
  <c r="M35"/>
  <c r="J35"/>
  <c r="I35"/>
  <c r="AR34"/>
  <c r="AQ34"/>
  <c r="AP34"/>
  <c r="AO34"/>
  <c r="AN34"/>
  <c r="AM34"/>
  <c r="AL34"/>
  <c r="AK34"/>
  <c r="AJ34"/>
  <c r="AH34"/>
  <c r="AG34"/>
  <c r="AE34"/>
  <c r="AD34"/>
  <c r="AB34"/>
  <c r="AA34"/>
  <c r="Y34"/>
  <c r="V34"/>
  <c r="U34"/>
  <c r="S34"/>
  <c r="R34"/>
  <c r="P34"/>
  <c r="M34"/>
  <c r="L34"/>
  <c r="J34"/>
  <c r="I34"/>
  <c r="AO12"/>
  <c r="AL12"/>
  <c r="AR11"/>
  <c r="AR10"/>
  <c r="AO10"/>
  <c r="AL10"/>
  <c r="G31"/>
  <c r="F31"/>
  <c r="G30"/>
  <c r="G29" s="1"/>
  <c r="F30"/>
  <c r="AR29"/>
  <c r="AQ29"/>
  <c r="AP29"/>
  <c r="AO29"/>
  <c r="AN29"/>
  <c r="AM29"/>
  <c r="AL29"/>
  <c r="AK29"/>
  <c r="AJ29"/>
  <c r="AH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F26"/>
  <c r="AC26"/>
  <c r="AC25" s="1"/>
  <c r="Z26"/>
  <c r="Z25" s="1"/>
  <c r="G26"/>
  <c r="AR25"/>
  <c r="AQ25"/>
  <c r="AO25"/>
  <c r="AN25"/>
  <c r="AL25"/>
  <c r="AK25"/>
  <c r="AB25"/>
  <c r="W25"/>
  <c r="V25"/>
  <c r="S25"/>
  <c r="P25"/>
  <c r="M25"/>
  <c r="K25"/>
  <c r="J25"/>
  <c r="G24"/>
  <c r="F24"/>
  <c r="AM22"/>
  <c r="AJ22"/>
  <c r="Z22"/>
  <c r="U22"/>
  <c r="G23"/>
  <c r="AR22"/>
  <c r="AQ22"/>
  <c r="AO22"/>
  <c r="AN22"/>
  <c r="AL22"/>
  <c r="AK22"/>
  <c r="AH22"/>
  <c r="AE22"/>
  <c r="AB22"/>
  <c r="Y22"/>
  <c r="V22"/>
  <c r="S22"/>
  <c r="P22"/>
  <c r="M22"/>
  <c r="J22"/>
  <c r="G20"/>
  <c r="G19"/>
  <c r="F19"/>
  <c r="AM17"/>
  <c r="AV18"/>
  <c r="R17"/>
  <c r="AR17"/>
  <c r="AQ17"/>
  <c r="AO17"/>
  <c r="AN17"/>
  <c r="AL17"/>
  <c r="AK17"/>
  <c r="AH17"/>
  <c r="AE17"/>
  <c r="AB17"/>
  <c r="Y17"/>
  <c r="S17"/>
  <c r="P17"/>
  <c r="M17"/>
  <c r="J17"/>
  <c r="I17"/>
  <c r="G16"/>
  <c r="F16"/>
  <c r="AM13"/>
  <c r="AJ13"/>
  <c r="AF15"/>
  <c r="AA13"/>
  <c r="Z15"/>
  <c r="Z13" s="1"/>
  <c r="T15"/>
  <c r="O13"/>
  <c r="M13"/>
  <c r="L13"/>
  <c r="J13"/>
  <c r="I13"/>
  <c r="G14"/>
  <c r="F14"/>
  <c r="AR13"/>
  <c r="AQ13"/>
  <c r="AO13"/>
  <c r="AN13"/>
  <c r="AL13"/>
  <c r="AK13"/>
  <c r="AH13"/>
  <c r="AE13"/>
  <c r="AB13"/>
  <c r="Y13"/>
  <c r="V13"/>
  <c r="S13"/>
  <c r="P13"/>
  <c r="AR12"/>
  <c r="AO11"/>
  <c r="AL11"/>
  <c r="H75" l="1"/>
  <c r="G12"/>
  <c r="F29"/>
  <c r="H29" s="1"/>
  <c r="G65"/>
  <c r="F73"/>
  <c r="G25"/>
  <c r="J82"/>
  <c r="V33"/>
  <c r="AN62"/>
  <c r="M83"/>
  <c r="G63"/>
  <c r="U17"/>
  <c r="AG22"/>
  <c r="AI25"/>
  <c r="X34"/>
  <c r="X82" s="1"/>
  <c r="L35"/>
  <c r="N35" s="1"/>
  <c r="L17"/>
  <c r="N17" s="1"/>
  <c r="AQ82"/>
  <c r="K17"/>
  <c r="W33"/>
  <c r="I84"/>
  <c r="AA22"/>
  <c r="Y82"/>
  <c r="AO82"/>
  <c r="AG84"/>
  <c r="O34"/>
  <c r="AU34" s="1"/>
  <c r="AL33"/>
  <c r="AE48"/>
  <c r="AK9"/>
  <c r="AW58"/>
  <c r="J83"/>
  <c r="U84"/>
  <c r="AD13"/>
  <c r="AF13" s="1"/>
  <c r="U83"/>
  <c r="O22"/>
  <c r="Q22" s="1"/>
  <c r="AG82"/>
  <c r="AR82"/>
  <c r="P84"/>
  <c r="S84"/>
  <c r="AH84"/>
  <c r="AL84"/>
  <c r="AA33"/>
  <c r="AM33"/>
  <c r="AQ33"/>
  <c r="W42"/>
  <c r="AC42"/>
  <c r="AF42"/>
  <c r="J48"/>
  <c r="S48"/>
  <c r="U48"/>
  <c r="AC48"/>
  <c r="AG48"/>
  <c r="AU50"/>
  <c r="AB62"/>
  <c r="AD64"/>
  <c r="AF64" s="1"/>
  <c r="Q69"/>
  <c r="AC69"/>
  <c r="N64"/>
  <c r="N62" s="1"/>
  <c r="Z64"/>
  <c r="Z62" s="1"/>
  <c r="AV77"/>
  <c r="Q77"/>
  <c r="AC77"/>
  <c r="W64"/>
  <c r="W62" s="1"/>
  <c r="AJ17"/>
  <c r="M48"/>
  <c r="S82"/>
  <c r="AB82"/>
  <c r="K11"/>
  <c r="AL83"/>
  <c r="AQ83"/>
  <c r="O84"/>
  <c r="N13"/>
  <c r="AU20"/>
  <c r="AW20" s="1"/>
  <c r="AV29"/>
  <c r="AR9"/>
  <c r="AK82"/>
  <c r="AN83"/>
  <c r="AP83"/>
  <c r="J33"/>
  <c r="AU43"/>
  <c r="AW43" s="1"/>
  <c r="G44"/>
  <c r="G42" s="1"/>
  <c r="I48"/>
  <c r="R48"/>
  <c r="Z48"/>
  <c r="AD48"/>
  <c r="AU56"/>
  <c r="AI56"/>
  <c r="F56"/>
  <c r="AC64"/>
  <c r="AC62" s="1"/>
  <c r="AI77"/>
  <c r="AW79"/>
  <c r="W22"/>
  <c r="AP33"/>
  <c r="R13"/>
  <c r="T13" s="1"/>
  <c r="X17"/>
  <c r="Z17" s="1"/>
  <c r="AV22"/>
  <c r="AF25"/>
  <c r="AV34"/>
  <c r="AD33"/>
  <c r="O35"/>
  <c r="AF35"/>
  <c r="F43"/>
  <c r="F34" s="1"/>
  <c r="H34" s="1"/>
  <c r="F49"/>
  <c r="F48" s="1"/>
  <c r="P48"/>
  <c r="Y48"/>
  <c r="AK48"/>
  <c r="AM48"/>
  <c r="AO48"/>
  <c r="Q50"/>
  <c r="X48"/>
  <c r="AV56"/>
  <c r="Q56"/>
  <c r="J62"/>
  <c r="I62"/>
  <c r="AV64"/>
  <c r="S62"/>
  <c r="X62"/>
  <c r="Z69"/>
  <c r="F65"/>
  <c r="T77"/>
  <c r="AD77"/>
  <c r="AU77" s="1"/>
  <c r="AF79"/>
  <c r="AI17"/>
  <c r="AW69"/>
  <c r="Q13"/>
  <c r="AM83"/>
  <c r="Z12"/>
  <c r="Z84" s="1"/>
  <c r="AD84"/>
  <c r="U33"/>
  <c r="AC33"/>
  <c r="AA48"/>
  <c r="H58"/>
  <c r="V83"/>
  <c r="P62"/>
  <c r="F63"/>
  <c r="AI12"/>
  <c r="AI84" s="1"/>
  <c r="AI42"/>
  <c r="AI48"/>
  <c r="AV13"/>
  <c r="AU18"/>
  <c r="AW18" s="1"/>
  <c r="AU23"/>
  <c r="AW23" s="1"/>
  <c r="AU44"/>
  <c r="AW44" s="1"/>
  <c r="AU71"/>
  <c r="AW71" s="1"/>
  <c r="AV25"/>
  <c r="L82"/>
  <c r="V82"/>
  <c r="AA82"/>
  <c r="AM82"/>
  <c r="AO9"/>
  <c r="X13"/>
  <c r="G15"/>
  <c r="K15"/>
  <c r="K13" s="1"/>
  <c r="V17"/>
  <c r="AV17" s="1"/>
  <c r="G18"/>
  <c r="G10" s="1"/>
  <c r="T17"/>
  <c r="F26"/>
  <c r="F25" s="1"/>
  <c r="H25" s="1"/>
  <c r="AG29"/>
  <c r="AU29" s="1"/>
  <c r="AM84"/>
  <c r="K34"/>
  <c r="T34"/>
  <c r="AF34"/>
  <c r="AH33"/>
  <c r="AJ33"/>
  <c r="AN33"/>
  <c r="AR33"/>
  <c r="K42"/>
  <c r="Q42"/>
  <c r="Q43"/>
  <c r="Z33"/>
  <c r="AP48"/>
  <c r="O48"/>
  <c r="AQ48"/>
  <c r="AF48"/>
  <c r="W48"/>
  <c r="Q64"/>
  <c r="AA62"/>
  <c r="T69"/>
  <c r="AF69"/>
  <c r="AI69"/>
  <c r="W77"/>
  <c r="AU26"/>
  <c r="AW26" s="1"/>
  <c r="AV15"/>
  <c r="AV50"/>
  <c r="AU15"/>
  <c r="X84"/>
  <c r="AB84"/>
  <c r="AJ84"/>
  <c r="AN84"/>
  <c r="AR84"/>
  <c r="AB83"/>
  <c r="AH83"/>
  <c r="AR83"/>
  <c r="AP84"/>
  <c r="AQ84"/>
  <c r="H73"/>
  <c r="M62"/>
  <c r="R62"/>
  <c r="AE62"/>
  <c r="AM62"/>
  <c r="AI10"/>
  <c r="AI82" s="1"/>
  <c r="G64"/>
  <c r="AI64"/>
  <c r="AI62" s="1"/>
  <c r="AI33"/>
  <c r="G84"/>
  <c r="AH9"/>
  <c r="AN82"/>
  <c r="AN9"/>
  <c r="AE83"/>
  <c r="O17"/>
  <c r="Q17" s="1"/>
  <c r="AC22"/>
  <c r="P33"/>
  <c r="K35"/>
  <c r="I33"/>
  <c r="Y33"/>
  <c r="Y83"/>
  <c r="AJ64"/>
  <c r="AJ62" s="1"/>
  <c r="AJ69"/>
  <c r="N15"/>
  <c r="AP17"/>
  <c r="F20"/>
  <c r="F12" s="1"/>
  <c r="L84"/>
  <c r="AA84"/>
  <c r="AA17"/>
  <c r="R22"/>
  <c r="T22" s="1"/>
  <c r="M33"/>
  <c r="AK33"/>
  <c r="AK83"/>
  <c r="AO33"/>
  <c r="AO83"/>
  <c r="H43"/>
  <c r="T44"/>
  <c r="S42"/>
  <c r="AV42" s="1"/>
  <c r="S35"/>
  <c r="AV35" s="1"/>
  <c r="AP77"/>
  <c r="F79"/>
  <c r="F77" s="1"/>
  <c r="W11"/>
  <c r="U13"/>
  <c r="W13" s="1"/>
  <c r="AE33"/>
  <c r="AB48"/>
  <c r="AJ48"/>
  <c r="AR48"/>
  <c r="AE82"/>
  <c r="M84"/>
  <c r="AE9"/>
  <c r="AA83"/>
  <c r="AI11"/>
  <c r="Y84"/>
  <c r="AK84"/>
  <c r="L22"/>
  <c r="N22" s="1"/>
  <c r="X22"/>
  <c r="AQ9"/>
  <c r="AB33"/>
  <c r="X35"/>
  <c r="AG33"/>
  <c r="L42"/>
  <c r="X42"/>
  <c r="Z42" s="1"/>
  <c r="G50"/>
  <c r="H50" s="1"/>
  <c r="Z56"/>
  <c r="O62"/>
  <c r="V62"/>
  <c r="AH62"/>
  <c r="AL62"/>
  <c r="AP62"/>
  <c r="T64"/>
  <c r="N69"/>
  <c r="F71"/>
  <c r="H71" s="1"/>
  <c r="J84"/>
  <c r="K12"/>
  <c r="V84"/>
  <c r="AD22"/>
  <c r="AF22" s="1"/>
  <c r="N34"/>
  <c r="G22"/>
  <c r="R84"/>
  <c r="T12"/>
  <c r="AD17"/>
  <c r="AF17" s="1"/>
  <c r="AE84"/>
  <c r="F44"/>
  <c r="R42"/>
  <c r="R35"/>
  <c r="R33" s="1"/>
  <c r="L48"/>
  <c r="V48"/>
  <c r="AH48"/>
  <c r="AH82"/>
  <c r="AL82"/>
  <c r="AL48"/>
  <c r="AL9"/>
  <c r="F15"/>
  <c r="F11" s="1"/>
  <c r="Y9"/>
  <c r="Z11"/>
  <c r="AO84"/>
  <c r="Q15"/>
  <c r="W15"/>
  <c r="AC15"/>
  <c r="F18"/>
  <c r="F23"/>
  <c r="F22" s="1"/>
  <c r="AN48"/>
  <c r="G56"/>
  <c r="U62"/>
  <c r="Y62"/>
  <c r="AG62"/>
  <c r="AK62"/>
  <c r="AO62"/>
  <c r="W69"/>
  <c r="G69"/>
  <c r="N77"/>
  <c r="G77"/>
  <c r="I22"/>
  <c r="L64"/>
  <c r="AH81" l="1"/>
  <c r="X33"/>
  <c r="G62"/>
  <c r="AQ81"/>
  <c r="G13"/>
  <c r="G11"/>
  <c r="F10"/>
  <c r="H26"/>
  <c r="L33"/>
  <c r="N33" s="1"/>
  <c r="AN81"/>
  <c r="AF84"/>
  <c r="G17"/>
  <c r="Q34"/>
  <c r="AL81"/>
  <c r="AB9"/>
  <c r="AW29"/>
  <c r="O33"/>
  <c r="AU33" s="1"/>
  <c r="V9"/>
  <c r="O83"/>
  <c r="AU48"/>
  <c r="AD62"/>
  <c r="W83"/>
  <c r="G35"/>
  <c r="G33" s="1"/>
  <c r="Q12"/>
  <c r="Q35"/>
  <c r="X9"/>
  <c r="AU25"/>
  <c r="Q48"/>
  <c r="Q84"/>
  <c r="AW34"/>
  <c r="G48"/>
  <c r="H48" s="1"/>
  <c r="X83"/>
  <c r="X81" s="1"/>
  <c r="Q62"/>
  <c r="AK81"/>
  <c r="J9"/>
  <c r="L9"/>
  <c r="I83"/>
  <c r="K83" s="1"/>
  <c r="T62"/>
  <c r="AW77"/>
  <c r="AW56"/>
  <c r="AU22"/>
  <c r="AW22" s="1"/>
  <c r="H56"/>
  <c r="Z83"/>
  <c r="AM9"/>
  <c r="AF12"/>
  <c r="W12"/>
  <c r="W84" s="1"/>
  <c r="N84"/>
  <c r="AF33"/>
  <c r="K33"/>
  <c r="AG9"/>
  <c r="AW50"/>
  <c r="AW15"/>
  <c r="AF77"/>
  <c r="AV48"/>
  <c r="AW48" s="1"/>
  <c r="Q33"/>
  <c r="AC10"/>
  <c r="AC82" s="1"/>
  <c r="AU13"/>
  <c r="AW13" s="1"/>
  <c r="AU17"/>
  <c r="AW17" s="1"/>
  <c r="AU35"/>
  <c r="AW35" s="1"/>
  <c r="AU42"/>
  <c r="AW42" s="1"/>
  <c r="AW25"/>
  <c r="W17"/>
  <c r="H79"/>
  <c r="H22"/>
  <c r="F84"/>
  <c r="H84" s="1"/>
  <c r="AO81"/>
  <c r="AR81"/>
  <c r="J81"/>
  <c r="AB81"/>
  <c r="N12"/>
  <c r="L62"/>
  <c r="AU64"/>
  <c r="AW64" s="1"/>
  <c r="AV62"/>
  <c r="AM81"/>
  <c r="V81"/>
  <c r="Y81"/>
  <c r="AF62"/>
  <c r="AG83"/>
  <c r="AG81" s="1"/>
  <c r="AI83"/>
  <c r="AI81" s="1"/>
  <c r="F17"/>
  <c r="AC11"/>
  <c r="AC83" s="1"/>
  <c r="AC13"/>
  <c r="F35"/>
  <c r="F33" s="1"/>
  <c r="F42"/>
  <c r="H42" s="1"/>
  <c r="G9"/>
  <c r="G82"/>
  <c r="P82"/>
  <c r="Q10"/>
  <c r="P9"/>
  <c r="K22"/>
  <c r="F13"/>
  <c r="H15"/>
  <c r="S83"/>
  <c r="T11"/>
  <c r="I82"/>
  <c r="I9"/>
  <c r="K10"/>
  <c r="F64"/>
  <c r="F69"/>
  <c r="H69" s="1"/>
  <c r="L83"/>
  <c r="L81" s="1"/>
  <c r="N11"/>
  <c r="M82"/>
  <c r="N10"/>
  <c r="M9"/>
  <c r="N9" s="1"/>
  <c r="U82"/>
  <c r="U81" s="1"/>
  <c r="U9"/>
  <c r="W10"/>
  <c r="W82" s="1"/>
  <c r="R83"/>
  <c r="AJ83"/>
  <c r="AI9"/>
  <c r="T84"/>
  <c r="N42"/>
  <c r="H77"/>
  <c r="S9"/>
  <c r="AA81"/>
  <c r="AA9"/>
  <c r="T42"/>
  <c r="O9"/>
  <c r="O82"/>
  <c r="K84"/>
  <c r="AE81"/>
  <c r="S33"/>
  <c r="T33" s="1"/>
  <c r="T35"/>
  <c r="P83"/>
  <c r="Q83" s="1"/>
  <c r="Q11"/>
  <c r="AC12"/>
  <c r="AC84" s="1"/>
  <c r="AC17"/>
  <c r="AP9"/>
  <c r="AP82"/>
  <c r="AP81" s="1"/>
  <c r="H44"/>
  <c r="O81" l="1"/>
  <c r="H13"/>
  <c r="W9"/>
  <c r="K9"/>
  <c r="H17"/>
  <c r="AU62"/>
  <c r="AW62" s="1"/>
  <c r="H33"/>
  <c r="H35"/>
  <c r="W81"/>
  <c r="AV33"/>
  <c r="AW33" s="1"/>
  <c r="Q9"/>
  <c r="H12"/>
  <c r="N83"/>
  <c r="I81"/>
  <c r="K82"/>
  <c r="R9"/>
  <c r="R82"/>
  <c r="T10"/>
  <c r="Q82"/>
  <c r="P81"/>
  <c r="Z10"/>
  <c r="M81"/>
  <c r="N82"/>
  <c r="AC81"/>
  <c r="F83"/>
  <c r="AD83"/>
  <c r="AF83" s="1"/>
  <c r="AF11"/>
  <c r="AJ82"/>
  <c r="AJ81" s="1"/>
  <c r="AJ9"/>
  <c r="AD9"/>
  <c r="AF9" s="1"/>
  <c r="AD82"/>
  <c r="AF10"/>
  <c r="T83"/>
  <c r="S81"/>
  <c r="H11"/>
  <c r="G83"/>
  <c r="H64"/>
  <c r="F62"/>
  <c r="H62" s="1"/>
  <c r="AC9"/>
  <c r="Q81" l="1"/>
  <c r="H83"/>
  <c r="G81"/>
  <c r="R81"/>
  <c r="T82"/>
  <c r="K81"/>
  <c r="Z9"/>
  <c r="Z82"/>
  <c r="Z81" s="1"/>
  <c r="T9"/>
  <c r="F82"/>
  <c r="F9"/>
  <c r="H9" s="1"/>
  <c r="H10"/>
  <c r="AD81"/>
  <c r="AF81" s="1"/>
  <c r="AF82"/>
  <c r="N81"/>
  <c r="T81" l="1"/>
  <c r="F81"/>
  <c r="H81" s="1"/>
  <c r="H82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<sst xmlns="http://schemas.openxmlformats.org/spreadsheetml/2006/main" count="3255" uniqueCount="524">
  <si>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</si>
  <si>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</si>
  <si>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</si>
  <si>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</si>
  <si>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</si>
  <si>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</si>
  <si>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</si>
  <si>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</si>
  <si>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</si>
  <si>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</si>
  <si>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</si>
  <si>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</si>
  <si>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</si>
  <si>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</si>
  <si>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</si>
  <si>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</si>
  <si>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</si>
  <si>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</si>
  <si>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</si>
  <si>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</si>
  <si>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</si>
  <si>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</si>
  <si>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</si>
  <si>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</si>
  <si>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</si>
  <si>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</si>
  <si>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</si>
  <si>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</si>
  <si>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</si>
  <si>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</si>
  <si>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</si>
  <si>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</si>
  <si>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</si>
  <si>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</si>
  <si>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</si>
  <si>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</si>
  <si>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</si>
  <si>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</si>
  <si>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</si>
  <si>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</si>
  <si>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</si>
  <si>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</si>
  <si>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</si>
  <si>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</si>
  <si>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</si>
  <si>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</si>
  <si>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</si>
  <si>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</si>
  <si>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</si>
  <si>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</si>
  <si>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</si>
  <si>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</si>
  <si>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</si>
  <si>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</si>
  <si>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</si>
  <si>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</si>
  <si>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</si>
  <si>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</si>
  <si>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</si>
  <si>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</si>
  <si>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</si>
  <si>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</si>
  <si>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</si>
  <si>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</si>
  <si>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</si>
  <si>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</si>
  <si>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</si>
  <si>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</si>
  <si>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</si>
  <si>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</si>
  <si>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</si>
  <si>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</si>
  <si>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</si>
  <si>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</si>
  <si>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</si>
  <si>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</si>
  <si>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</si>
  <si>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</si>
  <si>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</si>
  <si>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</si>
  <si>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</si>
  <si>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</si>
  <si>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</si>
  <si>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</si>
  <si>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</si>
  <si>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</si>
  <si>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</si>
  <si>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</si>
  <si>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</si>
  <si>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</si>
  <si>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</si>
  <si>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</si>
  <si>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</si>
  <si>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</si>
  <si>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</si>
  <si>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</si>
  <si>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</si>
  <si>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</si>
  <si>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</si>
  <si>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</si>
  <si>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</si>
  <si>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</si>
  <si>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</si>
  <si>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</si>
  <si>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</si>
  <si>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</si>
  <si>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</si>
  <si>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</si>
  <si>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</si>
  <si>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</si>
  <si>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</si>
  <si>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</si>
  <si>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</si>
  <si>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</si>
  <si>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</si>
  <si>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</si>
  <si>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</si>
  <si>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</si>
  <si>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</si>
  <si>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</si>
  <si>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</si>
  <si>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</si>
  <si>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</si>
  <si>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</si>
  <si>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</si>
  <si>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</si>
  <si>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</si>
  <si>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</si>
  <si>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</si>
  <si>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</si>
  <si>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</si>
  <si>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</si>
  <si>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</si>
  <si>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</si>
  <si>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</si>
  <si>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</si>
  <si>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</si>
  <si>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</si>
  <si>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</si>
  <si>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</si>
  <si>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</si>
  <si>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</si>
  <si>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</si>
  <si>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</si>
  <si>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</si>
  <si>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</si>
  <si>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</si>
  <si>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</si>
  <si>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</si>
  <si>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</si>
  <si>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</si>
  <si>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</si>
  <si>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</si>
  <si>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</si>
  <si>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</si>
  <si>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</si>
  <si>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</si>
  <si>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</si>
  <si>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</si>
  <si>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</si>
  <si>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</si>
  <si>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</si>
  <si>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</si>
  <si>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</si>
  <si>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</si>
  <si>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</si>
  <si>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</si>
  <si>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</si>
  <si>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</si>
  <si>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</si>
  <si>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</si>
  <si>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</si>
  <si>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</si>
  <si>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</si>
  <si>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</si>
  <si>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</si>
  <si>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</si>
  <si>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</si>
  <si>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</si>
  <si>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</si>
  <si>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</si>
  <si>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</si>
  <si>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</si>
  <si>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</si>
  <si>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</si>
  <si>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</si>
  <si>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</si>
  <si>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</si>
  <si>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</si>
  <si>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</si>
  <si>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</si>
  <si>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</si>
  <si>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</si>
  <si>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</si>
  <si>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</si>
  <si>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</si>
  <si>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</si>
  <si>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</si>
  <si>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</si>
  <si>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</si>
  <si>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</si>
  <si>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</si>
  <si>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</si>
  <si>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</si>
  <si>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</si>
  <si>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</si>
  <si>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</si>
  <si>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</si>
  <si>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</si>
  <si>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</si>
  <si>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</si>
  <si>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</si>
  <si>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</si>
  <si>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</si>
  <si>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</si>
  <si>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</si>
  <si>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</si>
  <si>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</si>
  <si>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</si>
  <si>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</si>
  <si>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</si>
  <si>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</si>
  <si>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</si>
  <si>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</si>
  <si>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</si>
  <si>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</si>
  <si>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</si>
  <si>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</si>
  <si>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</si>
  <si>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</si>
  <si>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</si>
  <si>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</si>
  <si>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</si>
  <si>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</si>
  <si>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</si>
  <si>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</si>
  <si>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</si>
  <si>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</si>
  <si>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</si>
  <si>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</si>
  <si>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</si>
  <si>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</si>
  <si>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</si>
  <si>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</si>
  <si>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</si>
  <si>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</si>
  <si>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</si>
  <si>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</si>
  <si>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</si>
  <si>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</si>
  <si>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</si>
  <si>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</si>
  <si>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</si>
  <si>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</si>
  <si>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</si>
  <si>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</si>
  <si>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</si>
  <si>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Федеральный бюджет</t>
  </si>
  <si>
    <t>Организация обеспечения сохранности муниципального имущества (страхование муниципального имущества)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</si>
  <si>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</si>
  <si>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>И.Н.Назарова</t>
  </si>
  <si>
    <t>Наименование программных мероприятий</t>
  </si>
  <si>
    <t>Целевой показатель, №</t>
  </si>
  <si>
    <t>Объем финансирования всего на год, тыс.руб.</t>
  </si>
  <si>
    <t>План</t>
  </si>
  <si>
    <t>Факт</t>
  </si>
  <si>
    <t>Исполнение, %</t>
  </si>
  <si>
    <t>Подпрограмма I «Создание условий для совершенствования системы муниципального управления»</t>
  </si>
  <si>
    <t>сводно-аналитический отдел администрации города Урай, отдел по учету и отчетности администрации города Урай</t>
  </si>
  <si>
    <t>МАУ МФЦ</t>
  </si>
  <si>
    <t>Подпрограмма III «Развитие муниципальной службы и резерва управленческих кадров»</t>
  </si>
  <si>
    <t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</t>
  </si>
  <si>
    <t xml:space="preserve"> Подпрограмма IV «Управление и распоряжение муниципальным имуществом муниципального образования город Урай»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</si>
  <si>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</si>
  <si>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</si>
  <si>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не требует финансирования</t>
  </si>
  <si>
    <t>управление по организационным вопросам и кадрам администрации города Урай</t>
  </si>
  <si>
    <t xml:space="preserve">комитет по управлению муниципальным имуществом
администрации города Урай
</t>
  </si>
  <si>
    <t>Проведение конкурса «Лучший работник органов местного самоуправления»</t>
  </si>
  <si>
    <t>-</t>
  </si>
  <si>
    <t>Обеспечение государственной регистрации права собственности муниципального образования городской округ город Урай</t>
  </si>
  <si>
    <t>За отчетный период внесено изменение в перечень объектов, подлежащих  страхованию. Перечень утвержден постановлением администрации города Урай от 05.05.2017 №1199. В перечень вошли  объекты от застройщика ООО «Шаимский ПК5»</t>
  </si>
  <si>
    <t xml:space="preserve">Ответственный исполнитель (соисполнитель) </t>
  </si>
  <si>
    <t>муниципальной программы:</t>
  </si>
  <si>
    <r>
      <t>Согласовано:</t>
    </r>
    <r>
      <rPr>
        <sz val="10"/>
        <color rgb="FF000000"/>
        <rFont val="Arial"/>
        <family val="2"/>
        <charset val="204"/>
      </rPr>
      <t xml:space="preserve"> </t>
    </r>
  </si>
  <si>
    <r>
      <t>Комитет по финансам  администрации города Урай</t>
    </r>
    <r>
      <rPr>
        <sz val="10"/>
        <color rgb="FF000000"/>
        <rFont val="Arial"/>
        <family val="2"/>
        <charset val="204"/>
      </rPr>
      <t xml:space="preserve"> </t>
    </r>
  </si>
  <si>
    <r>
      <t>_________________________</t>
    </r>
    <r>
      <rPr>
        <sz val="10"/>
        <color rgb="FF000000"/>
        <rFont val="Arial"/>
        <family val="2"/>
        <charset val="204"/>
      </rPr>
      <t xml:space="preserve"> </t>
    </r>
  </si>
  <si>
    <t>«___» _____________20__ г.</t>
  </si>
  <si>
    <t>Начальник сводно-аналитического отдела администрации города Урай</t>
  </si>
  <si>
    <t>Начальник  отдела по учету и отчетности администрации города Урай</t>
  </si>
  <si>
    <t>Исполнитель: Назарова Ирина Николаевна</t>
  </si>
  <si>
    <t>тел.:8 (34676) 2-33-30</t>
  </si>
  <si>
    <t>(подпись)</t>
  </si>
  <si>
    <t>Е.М.Погадаева</t>
  </si>
  <si>
    <t>Задача 1. Совершенствование решения вопросов местного самоуправления</t>
  </si>
  <si>
    <t>Организация содержания муниципального жилищного фонда</t>
  </si>
  <si>
    <t xml:space="preserve">Освоение средств за отчетный период не в полном объеме обусловлено наличием вакансий, а также с поздним заключением договора на перевод записей актов гражданского состояния в электронный вид
</t>
  </si>
  <si>
    <t>Освоение средств за отчетный период не в полном объеме обусловлено отказом от участия в семинаре, а также оплата осуществляется в соответствии с фактически сложившимися расходами</t>
  </si>
  <si>
    <t xml:space="preserve">      В рамках контрактов от 15.08.2017 №252/17, от 29.08.2017 №270/17 приобретены ГЗПО, марки, конверты для рассылки присяжным заседателям</t>
  </si>
  <si>
    <t xml:space="preserve">        За 9 месяцев 2017 года  отделом ЗАГС зарегистрировано 1213 записей актов гражданского состояния. Составлено 404 актовых записей о рождении (мальчиков родилось 203 человек, девочек -201 человек, двойни и более 5 человек). Зарегистрировано 240  записей актов о заключении брака, 287 записей о смерти, 182 записи о расторжении брака, 66 записей  об установлении отцовства, 32 записи актов  о перемене имени и 2 записи об усыновлении
      За 9 месяцев 2017 отделом ЗАГС города оказано государственных услуг населению 3792, в электронном виде – 338, оформлено 6244 юридически значимых действий
</t>
  </si>
  <si>
    <t>Освоение средств предусмотрено в 4 квартале 2017 года</t>
  </si>
  <si>
    <t xml:space="preserve">     Количество муниципальных услуг на 01.10.2017 года составляет 43. Предоставление государственных и муниципальных услуг осуществляется в строгом соответствии с административными регламентами. Для  42 муниципальных услуг разработаны и утверждены административные регламенты. 
За 9 месяцев 2017 разработано и утверждено 3 административных регламента. 1 административный регламент  (КУМИ) находится  на стадии разработки.
</t>
  </si>
  <si>
    <t xml:space="preserve">    На территории города Урай постановлением администрации города Урай от 19.08.2011 №2355 утвержден Реестр муниципальных услуг муниципального образования городской округ город Урай (далее – Реестр). Общее количество услуг на 01.10.2017 года составляет 54, в том числе 43 муниципальных  услуги и 11 услуг, предоставляемых муниципальными учреждениями и другими организациями, в которых размещается муниципальное задание (заказ). 
Решением Думы города Урай от 27.09.2012 №79 утвержден перечень услуг, которые являются необходимыми и обязательными для предоставления администрацией города Урай муниципальных  услуг (24 услуги).
Обновление Реестра осуществляется по мере необходимости, с учетом изменения законодательства. За  9 месяцев 2017 года проведено 3 обновления: 15.02.2017, 23.03.2017 и 31.07.2017. Данный Реестр актуализирован и размещен на официальном сайте органов местного самоуправления города Урай.
</t>
  </si>
  <si>
    <t xml:space="preserve">      Сведения об услугах размещены в информационной системе «Реестр государственных и муниципальных услуг (функций) ХМАО-Югры» (далее-РРГУ) и отражены на Едином портале государственных и муниципальных услуг (http://www.gosuslugi.ru/)</t>
  </si>
  <si>
    <t xml:space="preserve">    Обновление информации в РРГУ осуществляется по мере необходимости, с учетом изменения законодательства и утверждения новых муниципальных услуг. За 9 месяцев 2017  актуализация информации в РРГУ была проведена в январе, марте-июне, сентябре-октябре 2017 года ответственными лицами органов администрации  и МКУ по 54 муниципальным услугам</t>
  </si>
  <si>
    <t>Общее количество услуг на 01.10.2017 года составляет 54. Обеспечена возможность предоставления услуг в электронном виде через ЕПГУ по 19 услугам: 14 муниципальным услугам и 5  услугам учреждений</t>
  </si>
  <si>
    <t xml:space="preserve">     Деятельность органов местного самоуправления регулярно освещается в эфире ТРК «Спектр+» и МБУ «Газета «Знамя». Информирование о деятельности органов власти ведется и посредством радиовыпусков на темы городской жизни. На волнах радиостанции «Европа+» радиовыпуски продолжают выходить согласно сетки вещания ТРК «Спектр+» (пять выпусков ежедневно по будням).  
          В эфире ТРК «Спектр+» деятельность органов местного самоуправления  регулярно освещается в информационной программе: «Время Урая», «Время Урая о главном», «Из первых уст» в ходе прямых эфиров и пресс-конференций с участием главы города Урай, его заместителей, начальников отделов и управлений, специалистов администрации, Думы города.
         В средствах массовой информации и в сети Интернет размещена информация о проведении конкурсов на замещение вакантной должности муниципальной службы, положение о порядке проведения конкурса «Лучший работник органов местного самоуправления города Урай». На сайте www.uray.ru представлена полная структура органов власти, официальная информация о главе города Урай, исторические материалы о городе, созданы разделы по всем направлениям деятельности органов власти, разделы «Новости», «Объявления», «Обращения граждан», «Бюджет для граждан», «Госуслуги».     На официальном сайте размещены прямые ссылки на сайты Президента РФ, Правительства Югры, Губернатора и Думы Ханты-Мансийского автономного округа – Югры и территориальной избирательной комиссии, Общероссийского народного фронта и другие полезные ссылки.
В целях повышения информированности населения ежедневно специалистами пресс-службы направляются информационные и новостные материалы о городе Урае в адрес более 20 электронных изданий, таких как: «Накануне.ру», «Ньюспром.Ру», РИЦ «Югра Информ»,  «АиФЮгра», ООО «Югра ТV,  «Радио – Югра», Газета «Новости Югры», «Mangazia», «ЮграТрэвэл», «Ньюсфедпресс», и др. В России и городе Урае 2017 год объявлен  Годом экологии, в Югре - Годом здоровья. Мероприятия в рамках объявленных лет,  находят отражение в информационной картине урайских СМИ</t>
  </si>
  <si>
    <t xml:space="preserve">    Актуализация информационного ресурса (базы данных) содержащего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</si>
  <si>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</t>
  </si>
  <si>
    <t>В отчетном периоде в действующие муниципальные нормативные правовые акты администрации города Урай внесено 220 изменений и дополнений, принято 52 новых муниципальных нормативных правовых актов администрации города Урай, 34 муниципальных нормативных правовых актов администрации города Урай о признании утратившим силу ранее принятого акта, 26 муниципальных нормативных правовых актов администрации города Урай взамен отмененных
О деятельности органов власти подготовлено 278 информационных сообщения в эфире ТРК «Спектр+». 
В газете «Знамя» опубликовано 235  материала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199  пресс-релизов о деятельности органов власти</t>
  </si>
  <si>
    <t>Через МАУ "МФЦ" в настоящее время оказывается 217 услуг, в том числе 63 федеральные услуги, 111 региональных и 43 муниципальных. За девять месяцев 2017 года оказано услуг по приему, выдаче документов 32543 (в том числе: федеральные - 18057, региональные - 13558 и муниципальные - 928 (в том числе услуги полного цикла - 286)</t>
  </si>
  <si>
    <t>За 9 месяцев 2017 года в сфере муниципальной службы утверждено 5 нормативно-правовых актов, изменено 7 нормативно-правовых актов</t>
  </si>
  <si>
    <t xml:space="preserve">   Критерии оценки эффективности установлены решением Думы города Урай от 28.02.2008 №5. 
    В отчетном периоде изменений в данный документ не вносились
</t>
  </si>
  <si>
    <t>Во II квартале 2017 года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год.   Принято справок о доходах за 2016 год у 169 муниципальных служащих. Аттестовано 14 муниципальных служащих администрации города Урай и органов администрации города Урай</t>
  </si>
  <si>
    <t>За 9 месяцев 2017 года обучено 27 муниципальных служащих органов местного самоуправления города Урай, в т.ч. при проведении семинара по теме «Изменения законодательства в сфере контрактной системы в сфере закупок товаров, работ и услуг для обеспечения государственных и муниципальных нужд с 2017 года»</t>
  </si>
  <si>
    <t xml:space="preserve">     Постановлением  администрации города Урай от 22.12.2016 №3980 утвержден график сдачи документов для государственной  регистрации прав на недвижимое имущество (в отношении объектов коммунальной инфраструктуры, в том числе бесхозяйных объектов в городе Урай).                                                                                                                         Кроме этого  комитетом по управлению муниципальным имуществом администрации города Урай производится регистрация права собственности на  новые объекты, переданные от МКУ «Управление капитального строительства города Урай», прочие  незарегистрированные объекты и др.
За отчетный период зарегистрировано 57 объектов недвижимости</t>
  </si>
  <si>
    <t xml:space="preserve">     В соответствии с постановлением администрации города Урай от 29.12.2016 №4119 «О создании комиссии»                                                                                                                                       
проверено муниципальное имущество по договорам оперативного управления :
 1 кв. 2017 – 2 учреждения (Управление образования города Урай, МБУ «Молодежный центр»), 
 2 кв. 2017 – 2 учреждения (МКУ «Управление капитального строительства города Урай», МБОУ СОШ  №2), 
 3 кв. 2017 – 1 учреждение «МБУ ДО «ДЮСШ «Старт» -инвентаризация объектов освещения
</t>
  </si>
  <si>
    <t xml:space="preserve">В отчетном периоде были заключены договоры на:
- содержание нежилых помещений, находящихся в муниципальной собственности, которые расположены в многоквартирных жилых домах; 
- оплату за обработку лицевых счетов ООО «ПиП»;                                                                                                                                                                                                                                            - оценку объектов оценки;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выполнение кадастровых работ;
- услуги аудита
</t>
  </si>
  <si>
    <t xml:space="preserve">     В отчетном периоде оцифровано 126 дел постоянного хранения на 25 735 листах; подготовлено 966 архивных справок на социально-правовые, тематические запросы; изготовлено 245 копий с архивных документов на 560 листах  </t>
  </si>
  <si>
    <t xml:space="preserve">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9 месяцев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2017 году в органах местного самоуправления и муниципальных учреждениях города Урай 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9 месяцев 2017 года.
9)Информация о состоянии пожарной безопасности в бюджетных организациях города Урай за 9 месяцев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1.2.2 Обеспечение деятельности в сфере трудовых отношений и государственного управления охраной труда   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3 квартала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2016 году в органах местного самоуправления и муниципальных учреждениях города Урай.
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1 квартал 2017 года.
9)Информация о состоянии пожарной безопасности в бюджетных организациях города Урай за 1 полугодие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</t>
  </si>
  <si>
    <t xml:space="preserve">     За отчетный период заключены 25 муниципальных контрактов на содержание муниципального жилого фонда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</si>
  <si>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2018 год</t>
  </si>
  <si>
    <t xml:space="preserve">Цель 1. Совершенствование муниципального управления,  повышение его эффективности </t>
  </si>
  <si>
    <t>1.1.1.1</t>
  </si>
  <si>
    <t>Обеспечение деятельности 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</t>
  </si>
  <si>
    <t xml:space="preserve">сводно-аналитический отдел администрации города Урай, отдел по учету и отчетности администрации города Урай,  отдел опеки и попечительства администрации города Урай,
МКУ «УЖКХ города Урай»
</t>
  </si>
  <si>
    <t xml:space="preserve">1.1.1, 1.1.2,
1.1.4, 1.1.5
</t>
  </si>
  <si>
    <t>1.1.1.2.</t>
  </si>
  <si>
    <t>Обеспечение деятельности МКУ «УМТО города Урай»</t>
  </si>
  <si>
    <t>МКУ «УМТО города Урай»</t>
  </si>
  <si>
    <t>1.1.1</t>
  </si>
  <si>
    <t>1.1.1.3</t>
  </si>
  <si>
    <t>Внедрение проектной деятельности в органах местного самоуправления города Урай</t>
  </si>
  <si>
    <t>управление экономики, анализа и прогнозирования администрации города Урай, органы местного самоуправления</t>
  </si>
  <si>
    <t>1.1.1.4</t>
  </si>
  <si>
    <t>Обеспечение исполнения гарантий, предоставляемых  муниципальным служащим по выплате муниципальной пенсии</t>
  </si>
  <si>
    <t>1.1.7</t>
  </si>
  <si>
    <t>1.1.1.5.</t>
  </si>
  <si>
    <t>Организация общественных работ для временного трудоустройства незанятых трудовой деятельностью и безработных граждан</t>
  </si>
  <si>
    <t>сводно-аналитический отдел администрации города Урай, МКУ «УМТО города Урай», отдел по учету и отчетности администрации города Урай, муниципальное бюджетное учреждение «Молодежный центр»</t>
  </si>
  <si>
    <t>1.1.6</t>
  </si>
  <si>
    <t>1.1.1.6.</t>
  </si>
  <si>
    <t>Осуществление выплат согласно Положению о порядке предоставления  мер социальной поддержки и размерах возмещения расходов гражданам, удостоенным звания «Почетный гражданин города Урай»</t>
  </si>
  <si>
    <t>1.1.8</t>
  </si>
  <si>
    <t>Задача 2. Совершенствование предоставления государственных и муниципальных услуг</t>
  </si>
  <si>
    <t>Подпрограмма II «Предоставление государственных и муниципальных услуг»</t>
  </si>
  <si>
    <t>1.1.3</t>
  </si>
  <si>
    <t>1.2.1.1</t>
  </si>
  <si>
    <t>Разработка (актуализация) административных регламентов предоставления муниципальных услуг в муниципальном образовании городской округ город Урай и размещение (актуализация) сведений о муниципальных услугах в Реестре государственных и муниципальных услуг (функций) Ханты-Мансийского автономного округа – Югры</t>
  </si>
  <si>
    <t>органы администрации города Урай, предоставляющие муниципальные услуги, МКУ «УГЗиП города Урай»,  МАУ МФЦ</t>
  </si>
  <si>
    <t>1.2.2</t>
  </si>
  <si>
    <t>1.2.1.2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</si>
  <si>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</t>
  </si>
  <si>
    <t>органы администрации города Урай, предоставляющие муниципальные услуги, МКУ «УГЗиП  города Урай», МАУ МФЦ</t>
  </si>
  <si>
    <t>1.2.1, 1.2.4</t>
  </si>
  <si>
    <t>1.2.1.3</t>
  </si>
  <si>
    <t>Увеличение  количества услуг, получаемых гражданами в электронной форме</t>
  </si>
  <si>
    <t>органы администрации города Урай, предоставляющие муниципальные услуги, МКУ «УГЗиП города Урай», МАУ МФЦ</t>
  </si>
  <si>
    <t>1.2.3</t>
  </si>
  <si>
    <t>1.2.1.4</t>
  </si>
  <si>
    <t>Привлечение заявителей к получению услуг в электронной форме через Единый портал государственных и муниципальных услуг</t>
  </si>
  <si>
    <t>1.2.1.5</t>
  </si>
  <si>
    <t>Проведение социологического опроса по удовлетворенности граждан предоставлением муниципальных услуг</t>
  </si>
  <si>
    <t>отдел по работе с обращениями граждан администрации города Урай, управление экономики, анализа и прогнозирования</t>
  </si>
  <si>
    <t>1.2.1</t>
  </si>
  <si>
    <t>1.2.1.6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</si>
  <si>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</si>
  <si>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1.2.5, 1.2.6, 1.2.7</t>
  </si>
  <si>
    <t>Цель 2. Совершенствование организации муниципальной службы,  повышение ее эффективности</t>
  </si>
  <si>
    <t>Задача 3. Совершенствование профессиональных возможностей и способностей работников органов местного самоуправления</t>
  </si>
  <si>
    <t>2.1.1.1</t>
  </si>
  <si>
    <t>Анализ соответствия принятых муниципальных правовых актов действующему законодательству о муниципальной службе и противодействии коррупции</t>
  </si>
  <si>
    <t>2.1.4</t>
  </si>
  <si>
    <t>2.1.1.2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</si>
  <si>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</t>
  </si>
  <si>
    <t xml:space="preserve">управление по организационным вопросам и кадрам администрации города Урай </t>
  </si>
  <si>
    <t>2.1.2</t>
  </si>
  <si>
    <t>2.1.1.3</t>
  </si>
  <si>
    <t>Назначение из резерва кадров на  должности муниципальной службы высшей, главной и ведущей группы, учрежденных для выполнения функции «руководитель»</t>
  </si>
  <si>
    <t>2.1.3</t>
  </si>
  <si>
    <t>2.1.1.4</t>
  </si>
  <si>
    <t>2.1.5</t>
  </si>
  <si>
    <t>2.1.1.5</t>
  </si>
  <si>
    <t>2.1.1</t>
  </si>
  <si>
    <t>Цель 3.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</si>
  <si>
    <t>Задача 4. Совершенствование управления и распоряжения муниципальным имуществом</t>
  </si>
  <si>
    <t>3.1.1.1</t>
  </si>
  <si>
    <t xml:space="preserve">комитет по управлению муниципальным имуществом
администрации города Урай
</t>
  </si>
  <si>
    <t>3.1.1</t>
  </si>
  <si>
    <t>3.1.1.2</t>
  </si>
  <si>
    <t>Вовлечение земельных участков в хозяйственный оборот</t>
  </si>
  <si>
    <t>3.1.6</t>
  </si>
  <si>
    <t>3.1.1.3</t>
  </si>
  <si>
    <t>Повышение результативности финансово-хозяйственной деятельности хозяйствующих субъектов с долей участия муниципального образования городской округ город Урай</t>
  </si>
  <si>
    <t>3.1.2, 3.1.3</t>
  </si>
  <si>
    <t>3.1.1.4</t>
  </si>
  <si>
    <t>Организация обеспечения формирования состава и структуры муниципального имущества  (содержание имущества казны (за исключением объектов муниципального жилищного фонда)</t>
  </si>
  <si>
    <t>3.1.4</t>
  </si>
  <si>
    <t>3.1.1.5</t>
  </si>
  <si>
    <t>3.1.1.6</t>
  </si>
  <si>
    <t>3.1.5</t>
  </si>
  <si>
    <t>управление по учету и распределению муниципального жилого фонда администрации города Урай, МКУ «УГЗиП города Урай»</t>
  </si>
  <si>
    <t>3.1.7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</si>
  <si>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01.02.2018</t>
  </si>
  <si>
    <t>Исполнитель: Кучина Ирина Вениаминовна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</si>
  <si>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01.04.2018</t>
  </si>
  <si>
    <t>Отклонение произошло в связи с  уменьшением                               количества командировок; оплата за коммунальные услуги произведена по факту потребления энергоресурсов</t>
  </si>
  <si>
    <t>В рамках реализации мероприятий целевой программы Ханты-Мансийского автономного округа - Югры «Содействие занятости населения в Ханты-Мансийском автономном округе-Югре на 2014-2020 годы» заключены следующие договоры:
- №38 от 20.12.2017г. «О совместной деятельности по организации временного трудоустройства граждан» на 60 человек. За 1 квартал 2018 года были трудоустроены 27 человек.
- №3 от 11.01.2018г. «О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работы» на 10 человек. За 1 квартал 2018 года были трудоустроены 2 человека</t>
  </si>
  <si>
    <t xml:space="preserve">За отчетный период заключены муниципальные контракты и договоры в количестве 72 штук на содержание объектов муниципальной казны, из них 57 на  техническое обслуживание и содержание объектов  (содержание нежилых помещений в многоквартирных домах, приобретение материалов, поставка огнетушителей, оказание услуг связи и т.д.), 15 на содержание и ремонт транспортных средств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</t>
  </si>
  <si>
    <t>По Управлению образования и молодежной политики администрации города Урай неисполнение мероприятий произошло в связи с приведением в соответствие нормативно-правовой базы; по МКУ "УМТО" отклонение произошло из-за того, что оплата производится исходя из количества принятых сотрудников, а также наличием листов нетрудоспособности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</si>
  <si>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39 пенсионерам</t>
  </si>
  <si>
    <r>
      <t>Выплаты гражданам, удостоенным звания "Почетный гражданин города Урай</t>
    </r>
    <r>
      <rPr>
        <b/>
        <sz val="10"/>
        <rFont val="Times New Roman"/>
        <family val="1"/>
        <charset val="204"/>
      </rPr>
      <t xml:space="preserve">" </t>
    </r>
    <r>
      <rPr>
        <sz val="10"/>
        <rFont val="Times New Roman"/>
        <family val="1"/>
        <charset val="204"/>
      </rPr>
      <t>будут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производиться во 2 квартале 2018</t>
    </r>
  </si>
  <si>
    <t>Отклонение произошло из-за наличия листов нетрудоспособности</t>
  </si>
  <si>
    <t>Общее количество услуг на 01.04.2018 года составляет 54, в том числе 43 муниципальных и 11 услуг, предоставляемых муниципальными учреждениями. Предоставление государственных и муниципальных услуг осуществляется в строгом соответствии с административными регламентами. Для  всех 43 муниципальных услуг разработаны и утверждены административные регламенты. Актуальные редакции административных регламентов  размещены на сайте ОМСУ и в информационной системе «Реестр государственных и муниципальных услуг (функций) ХМАО-Югры» (далее – РРГУ). Обновление информации в РРГУ осуществляется по мере необходимости, с учетом изменения законодательства и утверждения новых муниципальных услуг. В 1 квартале 2018 года  актуализация информации в РРГУ была проведена в январе и марте ответственными лицами органов администрации  и МКУ по 31 муниципальной услуге</t>
  </si>
  <si>
    <t>Органами администрации города Урай оказываются 14 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содействия малому и среднему предпринимательству, отдел опеки и попечительства ,  управление по учету и распределению муниципального жилого фонда, ЗАГС)</t>
  </si>
  <si>
    <t xml:space="preserve">Обеспечена возможность предоставления услуг в электронном виде через ЕПГУ по 19 услугам: 14 муниципальным и 5 – услугам учреждений.  Заявителям доступны формы заявлений  и   иных   документов, необходимых для получения соответствующих услуг, обеспечен доступ к ним для копирования и заполнения в электронном виде. В 2017 году в  Департамент информационных технологий Ханты-Мансийского  автономного округа – Югры направлен перечень из 17 муниципальных услуг на перевод в электронную форму. За 1 квартал 2018 года всего оказано муниципальных услуг 153202, из них  в электронном виде 151016 (98,57%), в том числе:
оказанных ОМСУ в электронном виде  - 141, что составляет 25,7%,
оказанных учреждениями – 150875,  что составляет 98,83%
</t>
  </si>
  <si>
    <t xml:space="preserve">С целью популяризации получения государственных и муниципальных услуг в электронном виде:
- утвержден Координационный совет по  информатизации при администрации города Урай;
- в рамках исполнения Указа Президента Российской Федерации от 07.05.2012  №601 «Об основных направлениях совершенствования системы государственного управления» для увеличения доли граждан, использующих механизм получения государственных и муниципальных услуг в электронной  форме 
организованы Центры обслуживания единой системы идентификации и аутентификации (далее ЕСИА) для доступа к единому порталу государственных и муниципальных услуг: в МФЦ -1, в администрации города Урай (архив, отдел по обращениям  граждан, отдел СМП, управление образования, УИТиС) – 5, отделе ЗАГС - 1, МКУ «Управление градостроительства, землепользования и природопользования» -1. За  1 квартал 2018 года на Едином портале зарегистрировано   – 2547 человек
</t>
  </si>
  <si>
    <t>Социологический опрос по удовлетворенности граждан предоставлением муниципальных услуг  планируется провести в октябре 2018 года</t>
  </si>
  <si>
    <t xml:space="preserve">В соответствии с Федеральным законом от 27.07.2010 №210-ФЗ «Об организации предоставления государственных и муниципальных услуг» в рамках договоров о взаимодействии через  МФЦ предоставляются 225 услуг, в том числе 63 федеральных, 104 региональных, 15 прочих услуг  и 43 муниципальных. На 01.04.2018 года МАУ «МФЦ» оказано услуг 15410 (в том числе 1501 консультация), в том числе:
- федеральных 8910 (в том числе 724 консультации);
- региональных 4608 (в том числе 729 консультаций) - прочих 248 (в том числе 2 консультации);
- муниципальных 308 ( в том числе 46 консультаций);
- регистрация на портале 1336 услуг
</t>
  </si>
  <si>
    <t>За отчетный период комитетом по управлению муниципальным имуществом администрации города Урай зарегистрировано 59 объектов недвижимости, из них:                                                                                                                                         3 вновь построенных объектов недвижимости: магистральные сети горячего водоснабжения, теплоснабжения микрорайона Шаимский; 56 объектов  инженерных сетей (старые сети)</t>
  </si>
  <si>
    <t>За отчетный период в хозяйственный оборот вовлечено 8 земельных участков, переданных от  МКУ "Управление градостроительства, землепользования и природопользования города Урай" согласно постановлениям администрации города Урай "О заключении соглашения о перераспределении земельных участков": от 28.12.2017 №3941, от 28.12.2017 №3943, от 22.01.2018 №93,от 22.01.2018 №103, от 31.01.2018 №169, от 02.02.2018 №207</t>
  </si>
  <si>
    <t xml:space="preserve"> В соответствии с Федеральным законом от 26.12.1995 №208-ФЗ «Об акционерных обществах» органами управления акционерных обществ с участием муниципального образования являются: общее собрание акционеров и Совет директоров. Органом, осуществляющим контроль за  финансово-хозяйственной деятельностью акционерных обществ, является ревизионная комиссия, которая избирается общим собранием акционеров.
Деятельность ревизионной комиссии осуществляется в соответствии с Положениями о ревизионной комиссии, утвержденными Советом директоров каждого акционерного общества, постановлением админситрации города Урай (для МУП ритуальных услуг)  и графиком проверок, утвержденным главой города Урай.
В отчетном периоде   утверждены графики  проведения проверок 
ревизионными комиссиями  муниципального унитарного предприятия  ритуальных услуг и  акционерных обществ, доля акций которых в муниципальном образовании городской округ город Урай составляет  25%  и более. По результатам ревизионных проверок  за 2017 год будет произведена оценка состояния финансово-хозяйственной деятельности хозяйствующих субъектов и   выработаны    рекомендаций, направленные на повышение эффективности их деятельности</t>
  </si>
  <si>
    <t xml:space="preserve">За отчетный период в рамках реализации мероприятия программы производились расходы на содержание нежилых помещений, находящихся в муниципальной собственности, которые расположены в многоквартирных жилых домах; услуги аудита ООО "Омская дочерняя аудиторская фирма "Аудитинформ"; внесение записи о переходе прав собственности на ценные бумаги АО "Индустрия-РЕЕСТР"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</si>
  <si>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Отклонение произошло из-за сложившейся экономии по торгам: ООО "Омская дочерняя аудиторская фирма "Аудитинформ"  за услуги аудита бухгалтерской (финансовой) отчетности муниципального унитарного предприятия ритуальных услуг за 2017 год. </t>
  </si>
  <si>
    <t>Заключение муниципального контракта на услугу страхования и оплата по нему запланированы на 4 квартал 2018 года</t>
  </si>
  <si>
    <t xml:space="preserve">Перечень объектов подлежащих страхованию  утвержден постановлением администрации города Урай от 05.05.2017 №1199
</t>
  </si>
  <si>
    <t>Отклонение произошло в связи с тем, что оплата работ по договорам осуществляется по "факту" на основании актов выполненных работ и фактическим заселением жильцов</t>
  </si>
  <si>
    <t>В 1 квартале 2018 года заключены муниципальные контракты и договоры  на оказание услуг с ООО "Капитал", ООО "Эксперт", АО "Тюменская энергосбытовая компания", АО "Шаимгаз", АО "Урайтеплоэнергия"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</si>
  <si>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процедур; в соответствии с сетевым графиком реализации финансовых средств муниципальной программы. Администрирование по ТКО предусмотрено в 4 квартале 2018 года</t>
  </si>
  <si>
    <t xml:space="preserve">Освоение средств предусмотрено во 2-4 кварталах 2018 года. </t>
  </si>
  <si>
    <t xml:space="preserve">  В отчетном периоде в действующие муниципальные нормативные правовые акты администрации города Урай внесено 69 изменений и дополнений, принято 12 новых муниципальных нормативных правовых актов администрации города Урай, 6 муниципальных нормативных правовых актов администрации города Урай о признании утратившим силу ранее принятого акта, 8 муниципальных нормативных правовых актов администрации города Урай взамен отмененных.
О деятельности органов власти подготовлено 196 информационных сообщения в эфире ТРК «Спектр+». 
В газете «Знамя» опубликован 141  материал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95 пресс-релизов о деятельности органов власти. В городе Урай 2018 объявлен Годом гражданских инициатив. Мероприятия в рамках объявленного года находят отражение в информационной картине урайских СМИ. Проведен мониторинг состояний и условий охраны труда в 67 организациях муниципального образования город Урай. Общая численность работников организаций предоставивших информацию составила 13 464 человека. Для руководителей и специалистов организаций, учреждений города проведено 2 семинара по вопросам охраны труда. Принято участие в расследовании 2 несчастных случаев, из них 1 несчастный случай квалифицирован, как несчастный случай, связанный с производством, 1 несчастный случай, по результатам расследования квалифицирован  как несчастный случай не связанный с производством. Отделом ЗАГС зарегистрировано 393 записи актов гражданского состояния, из них 133 о рождении, 56 о заключении брака, 109 о смерти, 62 о расторжении брака, 19   об установлении отцовства, 11 о перемене имени и 3 записи об усыновлении. За 1 квартал 2018 года отделом ЗАГС оказано государственных услуг населению 816, из них в электронном виде  55, оформлено 1586 юридически значимых действий, выдано справок и извещений-504.  В отчетном периоде Архивной службой  оцифровано 20 дел постоянного хранения на 4336 листах; подготовлено 570 архивных справок на социально-правовые, тематические запросы; поступило в службу 656 запросов; изготовлено 118 копий с архивных документов на 249 листах.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127 приемным родителям (среднегодовая численность) за воспитание ребенка. </t>
  </si>
  <si>
    <t>За 1 квартал 2018 года в сфере муниципальной службы изменено 2 нормативно-правовых акта</t>
  </si>
  <si>
    <t>В 1 квартале 2018 года проведён 1 конкурс в кадровый резерв на 4 должности</t>
  </si>
  <si>
    <t>В 1 квартале 2018 года назначения из резерва кадров на  должности муниципальной службы высшей, главной и ведущей группы, учрежденных для выполнения функции «руководитель» не осуществлялись</t>
  </si>
  <si>
    <t>В 1 квартале 2018 года конкурс «Лучший работник органов местного самоуправления» не проводился</t>
  </si>
  <si>
    <t>В 1 квартале 2018 года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не проводилось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</si>
  <si>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</si>
  <si>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</si>
  <si>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</si>
  <si>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</si>
  <si>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</si>
  <si>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>кроме того, местный бюджет, за счёт остатков прошлых лет</t>
  </si>
  <si>
    <t xml:space="preserve">Бюджет Ханты-Мансийского автономного округа - Югры </t>
  </si>
  <si>
    <t>Без финансирования</t>
  </si>
  <si>
    <t>Всего: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</si>
  <si>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</si>
  <si>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</si>
  <si>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</si>
  <si>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</si>
  <si>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</si>
  <si>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 xml:space="preserve">сводно-аналитический отдел администрации города Урай, отдел по учету и отчетности администрации города Урай,  отдел опеки и попечительства администрации города Урай,
МКУ «УЖКХ города Урай»,  МКУ «УМТО города Урай»
</t>
  </si>
  <si>
    <t>сводно-аналитический отдел администрации города Урай, МКУ «УМТО города Урай», МКУ «ЕДДС города Урай», МКУ «УЖКХ города Урай», МКУ «УКС города Урай», МКУ «УГЗиП города Урай», отдел по учету и отчетности администрации города Урай, Управление образования и молодежной политики администрации города Урай</t>
  </si>
  <si>
    <t>комитет по управлению муниципальным имуществом администрации города Урай, МКУ «УКС города Урай», управление по учету и распределению муниципального жилого фонда администрации города Урай, МКУ «УГЗиП города Урай»</t>
  </si>
  <si>
    <t>сводно-аналитический отдел администрации города Урай, МАУ  МФЦ</t>
  </si>
  <si>
    <t xml:space="preserve"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
</t>
  </si>
  <si>
    <t>Управление образования и молодежной политики администрации города Урай</t>
  </si>
  <si>
    <t>правовое управление администрации города Урай</t>
  </si>
  <si>
    <t>17.04.2019 года прошел ежегодный конкурс "Лучший работник органов местного самоуправления города Урай" на основании постановления администрации города Урай от 27.02.2019 №427. В конкурсную комиссию поступило 4 заявки на участие в конкурсе. Комиссия оценили конкурсные работы. Победитель и лауреаты конкурса получили единовременное денежное поощрение</t>
  </si>
  <si>
    <t>местный бюджет, за счёт остатков прошлых лет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</si>
  <si>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</si>
  <si>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</si>
  <si>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</si>
  <si>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</si>
  <si>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</si>
  <si>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</si>
  <si>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</si>
  <si>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</si>
  <si>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1.8.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</si>
  <si>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</si>
  <si>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</si>
  <si>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</si>
  <si>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деятельности органов местного самоуправления (1)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</si>
  <si>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</si>
  <si>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</si>
  <si>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</si>
  <si>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</si>
  <si>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 xml:space="preserve">Реализация Федерального проекта «Старшее поколение»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</si>
  <si>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</si>
  <si>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</si>
  <si>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</si>
  <si>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</si>
  <si>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3.2.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</si>
  <si>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</si>
  <si>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</si>
  <si>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Содействие развитию управленческой культуры и повышению престижа муниципальной службы (11)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</si>
  <si>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(12)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</si>
  <si>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</si>
  <si>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</si>
  <si>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(тыс.рублей)</t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</si>
  <si>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за 2019 год</t>
  </si>
  <si>
    <t>Всего по  муниципальной программе: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</si>
  <si>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</si>
  <si>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</si>
  <si>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</si>
  <si>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- сводно-аналитический отдел администрации города Урай, отдел по учету и отчетности администрации города Урай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</si>
  <si>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</si>
  <si>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2 (Комитет по управлению муниципальным имуществом администрации города Урай)</t>
  </si>
  <si>
    <t>Соисполнитель 3 (Управление по организационным вопросам и кадрам администрации города Урай)</t>
  </si>
  <si>
    <t>Соисполнитель 4   (Комитет по финансам администрации города Урай)</t>
  </si>
  <si>
    <t>Соисполнитель 5   (Управление образования и молодежной политики администрации города Урай)</t>
  </si>
  <si>
    <t>Соисполнитель 6    (Управление по учету и распределению муниципального жилого фонда администрации города Урай)</t>
  </si>
  <si>
    <t>Соисполнитель 7 (Управление экономики, анализа и прогнозирования администрации города Урай)</t>
  </si>
  <si>
    <t>Соисполнитель 8 (Муниципальное казенное учреждение «Управление градостроительства, землепользования и природопользования города Урай»)</t>
  </si>
  <si>
    <t>Соисполнитель 9 (Муниципальное казенное учреждение «Управление капитального строительства города Урай»)</t>
  </si>
  <si>
    <t>Соисполнитель 10 (Муниципальное казенное учреждение «Единая дежурно-диспетчерская служба города Урай»)</t>
  </si>
  <si>
    <t>Соисполнитель 11 (Муниципальное казенное учреждение «Управление жилищно-коммунального хозяйства города Урай»)</t>
  </si>
  <si>
    <t>Соисполнитель 12 (Отдел опеки и попечительства администрации города Урай)</t>
  </si>
  <si>
    <t>Соисполнитель 13 (Правовое управление администрации города Урай)</t>
  </si>
  <si>
    <r>
      <t xml:space="preserve">"______"_________________2020 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</si>
  <si>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 xml:space="preserve">Неосвоение средств связано с осуществлением выплаты заработной платы,начислений на оплату труда - за фактически отработанное время; экономией средств, сложившейся в результате проведения конкурсных процедур; оплатой расходов на основании фактически произведенных затрат.                                                                                                                         Кроме этого, остаток средств сложился в результате перерасчета размера вознаграждения приемным родителям в связи с помещением подопечного ребенка в специализированную больницу.                                                                                                                                                                         </t>
  </si>
  <si>
    <t xml:space="preserve">Экономия средств сложилась в связи с оплатой на основании фактически произведенных затрат
</t>
  </si>
  <si>
    <t>Неосвоение средств связано с осуществлением выплаты заработной платы, компенсации  за неиспользованные отпуска - за фактически отработанное время</t>
  </si>
  <si>
    <t>Оплата за содержание муниципального имущества в период простоя осуществляется на основании предьявленных счетов по фактически сложившимся затратам. Кроме этого, заключены муниципальные контракты на выполнение кадастровых работ, со сроком исполнения - 1 квартал 2020 года</t>
  </si>
  <si>
    <t xml:space="preserve">       Органами администрации оказываются 46 муниципальных  услуг, 11 услуг, предоставляемых муниципальными учреждениями и 13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содействия малому и среднему предпринимательству, отдел опеки и попечительства,  управление по учету и распределению муниципального жилого фонда, ЗАГС).
       За 2019 год всего оказано услуг – 334083, из них: 
муниципальных услуг – 2268,
услуг учреждений – 322937, государственных услуг – 3536.
       За 2019 год всего оказано услуг в электронном виде  323885 (96,95%), в том числе:
оказанных ОМСУ   в электронном виде - 615, что составляет 27,12%,
оказанных учреждениями – 322937,  что составляет 98,37%, по переданным государственным полномочиям - 333,  что составляет 9,42%.</t>
  </si>
  <si>
    <t xml:space="preserve">        В соответствии с Федеральным законом от 27.07.2010 №210-ФЗ «Об организации предоставления государственных и муниципальных услуг»  в рамках договоров о взаимодействии через  МФЦ предоставляются 244 услуги, в том числе 63 федеральных, 120 региональных, 16 прочих  и 45 муниципальных.
        На 01.01.2020 в рамках муниципального задания МАУ «МФЦ» оказано 54685 услуг, в том числе:
- федеральных 35393 услуг;
- региональных 17717 услуг;
- прочих 107 услуг;
- гос.услуги по переданным полномочиям (ЗАГС) – 1 услуга;
- муниципальных 1467 услуг.
       Кроме того:
1) оказано 8587 услуг консультационного характера, в том числе:
- федеральных 3947 услуг;
- региональных 4474 услуги;
- гос.услуги по переданным полномочиям (ЗАГС) – 3 услуги;
- муниципальных 163 услуги.
2) по заявлению заявителя регистрация на Госпортале (консультация, регистрация, восстановление доступа, подтверждение личности) 4056 услуг.</t>
  </si>
  <si>
    <t xml:space="preserve">В отчетном периоде было 3 назначения из кадрового резерва на должность муниципальной служы </t>
  </si>
  <si>
    <t>В отчетном периоде проводилось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Урай. Обучено 16 человек</t>
  </si>
  <si>
    <t xml:space="preserve">За 2019 год комитетом по управлению муниципальным имуществом администрации города Урай зарегистрировано 46 объектов недвижимости, из них: 1) 26 объектов -ранее учтенные в муниципальной казне; 2) 10 объектов - вновь построенные, переданные от УКСа; 3) 2 объекта - бесхозных; 4) 1 объект - Западный 13; 5) 1 объект - сеть тепла, построенная в рамках концессионного соглашения; 6) 1 объект - склад детского сада; 7) 1 объект - нажилое помещение по адресу: 2-67-3, 8) 4 объекта - сети к дому по ул.Ленина, дом 104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Кроме этого, в  хозяйственный оборот вовлечено 195 земельных участков:  1) земельные участки переданные в аренду  МКУ "Управление градостроительства, землепользования и природопользования города Урай" (157 земельных участков);  2) с аукциона на право заключения договора аренды передано 16 земельных участков;  3) реализовано 22 земельных участка, 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1 января  2020 года муниципальное образование является собственником 6 хозяйственных обществ. По размеру участия муниципального образования хозяйственные общества распределены следующим образом: в 2 обществах -75% акций  принадлежит  муниципальному образованию; в 4 обществах- единственным акционером  (участником), имея в собственности 100 % акций (долей) является муниципальное образование.
В рамах выполнения мероприятий по повышению результативности финансово-хозяйственной деятельности хозяйствующих субъектов с долей участия муниципального образования городской округ город Урай:                                                                                                                                         1. Разработаны показатели премирования руководителей, которые являются неотъемлемой частью трудовых договоров с исполнительными органами акционерных обществ -генеральными директорами;
 2. В целях совершенствования качества корпоративного управления Постановлением администрации города Урай от 01.02.2017 №256 утверждено примерное Положение о порядке организации и проведения конкурентных процедур при реализации имущества хозяйствующими субъектами, доля участия  муниципального  образования городской округ город  Урай составляет 50 и более процентов. В соответствии с примерным Положениемхозяйственными обществами  разработаны и утверждены Советами директоров Положения о порядке проведения конкурентных процедур у следующих акционерных обществ: АО «Агроника», АО «Дорожник», АО «Урайтеплоэнергия», АО «Водоканал», АО «Центр красоты и здоровья», ООО Ритуальных услуг.                                                                 3. Осуществляется контроль за финансово хозяйственной деятельностью хозяйственных  обществ, согласно графику, утвержденному главой города Урай проведены 6 ревизионных проверок: МУП Ритуальных услуг, АО «Водоканал», АО «Урайтеплоэнергия», АО Дорожник», АО «Агроника», АО «Центр Красоты и здоровья». По итогам проверок финансово-хозяйственной деятельности  выработаны рекомендации Советом директоров обществ.    АО «Агроника», АО «Дорожник», АО «ЦК и З» разработан план мероприятий по  улучшению финансового состояния предприятия. Совет директоров производит контроль за исполнением данных мероприятий.  4.  С целью повышения эффективности деятельности муниципального унитарного предприятия ритуальных услуг проведена приватизация предприятия  путем преобразования в общество с ограниченной ответственностью. Организационно – правовая форма общество с ограниченной ответственностью более конкурентоспособна на рынке по сравнению с муниципальным унитарным предприятием и позволяет предприятию проводить более эффективное ценообразование за счет устранения административных барьеров.
После преобразования сохраняется 100%-ая доля города в уставном капитале предприятия, что обеспечит контроль за его деятельностью.
В хозяйственных обществах с участием муниципального образования  за 2019 года состоялось: 5 годовых общих собраний акционеров, 12 внеочередных общих собраний акционеров (участников), 72 заседания советов директоров, 1 заседания комиссии по рассмотрению итогов финансово-хозяйственной деятельности муп ритуальных услуг за 2018 год, проведено 6 ревизионных проверок.                                                   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</si>
  <si>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выплачивается 42 пенсионеру</t>
  </si>
  <si>
    <t>В отчетном периоде в действующие муниципальные нормативные правовые акты администрации города Урай внесено 234 изменений и дополнений, принято 30 новых муниципальных нормативных правовых актов администрации города Урай, 13 муниципальных нормативных правовых актов администрации города Урай о признании утратившим силу ранее принятого акта, 80 муниципальных нормативных правовых актов администрации города Урай взамен отмененных.
За 2019 год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подготовлено 631 материал. Официальная информация о ходе социально-экономических преобразований и политических событий в городе Урай размещается в газете «Знамя».  В течение 2019 года в газете «Знамя» было опубликовано 548 материалов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муниципалитете. В разделе «Новости» на официальном сайте органов местного самоуправления за 2019 год размещено 850 пресс-релизов. Из них 536 пресс-релиза о деятельности органов местного самоуправления (главы города и администрации города Урай) и более 300 о важнейших событиях в жизни муниципалитета.
Проведен мониторинг состояний и условий охраны труда в 68 организациях муниципального образования город Урай. Общая численность работников организаций предоставивших информацию составила 11 184 человека.  Организовано и проведено 4 городских конкурса по охране труда и оказанию первой помощи пострадавшим. Организовано и проведено 9 городских семинаров, совещаний по охране труда. Принято участие в расследовании 5 несчастных случаев связанных  производством. Принято участие в расследовании 3 несчастных случаев квалифицированных как несчастные случаи не связанные с производством.
Отделом ЗАГС зарегистрировано 1 430 записей актов гражданского состояния, из них 438 о рождении, 288 о заключении брака, 375 о смерти, 210 о расторжении брака, 78 об установлении отцовства, 35 о перемене имени и 6 записей об усыновлении. За  отчетный период отделом ЗАГС оказано  населению 2 945 государственных услуг, из них в электронном виде 328. В  2019 году в отделе ЗАГС администрации города Урай Ханты-Мансийского автономного округа-Югры согласно Плана основных мероприятий по проведению в 2019 году в Ханты-Мансийском автономном округа-Югре  Года семьи были проведены чествования семейных пар, проживших в браке 50 лет .                                                                                                                                                                                       В отчетном году Архивной службой  оцифровано 61 единица постоянного хранения на 10 463 листах; подготовлено 2 077 архивных справок на социально-правовые, тематические запросы; поступило в службу 2 057 запроса; изготовлено 261 копий с архивных документов.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113 приемным родителям  за воспитание ребенка, оздоровлено 29 детей-сирот.   В 2019 году 24 человека получили свидетельства (сертификат) о прохождении  обучения по подготовке лиц, желающих принять на воспитание в свою семью ребенка, оставшегося без попечения родителей, на территории Российской Федерации. Стоимость сертификата 29 991 рублей за 1 человека</t>
  </si>
  <si>
    <t xml:space="preserve"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2019 год заключены муниципальные контракты и договора в количестве 165 штук, на содержание объектов муниципальной казны:  техническое обслуживание и содержание объектов – 125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т.д.). На содержание и ремонт транспортных средств – 40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</t>
  </si>
  <si>
    <t xml:space="preserve">В рамках реализации данного мероприятия в отчетном периоде заключены следующие договора о совместной деятельности по организации временного трудоустройства граждан. За 2019 год в рамках реализации данных договоров трудоустроено на 101 человек.                                                                                                                                    Кроме этого, между Центром занятости и муниципальными учреждениями заключены договора на организацию деятельности по вопросу трудоустройства несовершеннолетних. За 2019 год на временные работы трудоустроено 454 подростка       </t>
  </si>
  <si>
    <t>Приобретение инвентаря для трудоустройства одиноких родителей</t>
  </si>
  <si>
    <t>За 2019 год в службу по защите прав потребителей поступило 342 обращения (186 обратившихся лично и 156 - по телефону). За отчетный период составлено и направлено в суд 10 исковых заявлений от имени потребителей. В течение 2019 г. в службу поступило 8 обращения по качеству продовольственных товаров, не предоставление полной и достоверной информации о товаре и 5 обращений на качество медицинских приборов и нарушения продавцом права потребителя на обмен товара. 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 (5 публикаций). С целью популяризации потребительской культуры в муниципальном образовании  в марте 2019 года службой по защите прав потребителей в рамках Всемирного дня защиты прав потребителей подготовлены и размещены материалы по теме  в городской газете «Знамя» и на официальном сайте администрации города Урай.  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5 материалов.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</si>
</sst>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164" fontId="13" fillId="0" borderId="0" applyFont="0" applyFill="0" applyBorder="0" applyAlignment="0" applyProtection="0"/>
    <xf numFmtId="0" fontId="31" fillId="0" borderId="0"/>
  </cellStyleXfs>
  <cellXfs count="480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7" fontId="19" fillId="4" borderId="1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167" fontId="21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5" fontId="19" fillId="5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ill="1"/>
    <xf numFmtId="167" fontId="19" fillId="5" borderId="1" xfId="2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24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167" fontId="19" fillId="5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65" fontId="19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horizontal="right" vertical="center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readingOrder="1"/>
    </xf>
    <xf numFmtId="0" fontId="26" fillId="0" borderId="0" xfId="0" applyFont="1" applyAlignment="1"/>
    <xf numFmtId="165" fontId="3" fillId="0" borderId="7" xfId="0" applyNumberFormat="1" applyFont="1" applyFill="1" applyBorder="1" applyAlignment="1">
      <alignment horizontal="left" vertical="center" wrapText="1"/>
    </xf>
    <xf numFmtId="167" fontId="21" fillId="5" borderId="1" xfId="2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" fontId="19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67" fontId="1" fillId="0" borderId="1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21" fillId="0" borderId="1" xfId="2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6" fillId="0" borderId="0" xfId="0" applyFont="1" applyFill="1"/>
    <xf numFmtId="0" fontId="25" fillId="0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6" fontId="19" fillId="5" borderId="1" xfId="2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left" vertical="center" wrapText="1"/>
      <protection locked="0"/>
    </xf>
    <xf numFmtId="165" fontId="19" fillId="5" borderId="1" xfId="0" applyNumberFormat="1" applyFont="1" applyFill="1" applyBorder="1" applyAlignment="1">
      <alignment horizontal="center" vertical="center" wrapText="1"/>
    </xf>
    <xf numFmtId="165" fontId="32" fillId="5" borderId="1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0" fillId="5" borderId="0" xfId="0" applyFill="1" applyBorder="1"/>
    <xf numFmtId="0" fontId="27" fillId="0" borderId="0" xfId="0" applyFont="1" applyAlignment="1"/>
    <xf numFmtId="0" fontId="33" fillId="0" borderId="0" xfId="0" applyFont="1" applyAlignment="1">
      <alignment horizontal="left" readingOrder="1"/>
    </xf>
    <xf numFmtId="0" fontId="20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27" fillId="5" borderId="0" xfId="0" applyFont="1" applyFill="1" applyAlignment="1"/>
    <xf numFmtId="0" fontId="20" fillId="5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0" fontId="25" fillId="5" borderId="0" xfId="0" applyFont="1" applyFill="1"/>
    <xf numFmtId="0" fontId="25" fillId="5" borderId="0" xfId="0" applyFont="1" applyFill="1" applyBorder="1"/>
    <xf numFmtId="0" fontId="25" fillId="0" borderId="0" xfId="0" applyFont="1" applyFill="1" applyAlignment="1">
      <alignment horizontal="right"/>
    </xf>
    <xf numFmtId="167" fontId="35" fillId="5" borderId="1" xfId="0" applyNumberFormat="1" applyFont="1" applyFill="1" applyBorder="1" applyAlignment="1">
      <alignment horizontal="center" vertical="center"/>
    </xf>
    <xf numFmtId="165" fontId="21" fillId="5" borderId="1" xfId="2" applyNumberFormat="1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165" fontId="19" fillId="5" borderId="6" xfId="0" applyNumberFormat="1" applyFont="1" applyFill="1" applyBorder="1" applyAlignment="1">
      <alignment horizontal="center" vertical="center" wrapText="1"/>
    </xf>
    <xf numFmtId="4" fontId="19" fillId="5" borderId="1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 wrapText="1"/>
    </xf>
    <xf numFmtId="165" fontId="21" fillId="4" borderId="11" xfId="0" applyNumberFormat="1" applyFont="1" applyFill="1" applyBorder="1" applyAlignment="1">
      <alignment horizontal="left" vertical="center" wrapText="1"/>
    </xf>
    <xf numFmtId="165" fontId="21" fillId="4" borderId="12" xfId="0" applyNumberFormat="1" applyFont="1" applyFill="1" applyBorder="1" applyAlignment="1">
      <alignment horizontal="left" vertical="center" wrapText="1"/>
    </xf>
    <xf numFmtId="165" fontId="21" fillId="4" borderId="13" xfId="0" applyNumberFormat="1" applyFont="1" applyFill="1" applyBorder="1" applyAlignment="1">
      <alignment horizontal="left" vertical="center" wrapText="1"/>
    </xf>
    <xf numFmtId="165" fontId="21" fillId="4" borderId="9" xfId="0" applyNumberFormat="1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left" vertical="center" wrapText="1"/>
    </xf>
    <xf numFmtId="165" fontId="21" fillId="4" borderId="14" xfId="0" applyNumberFormat="1" applyFont="1" applyFill="1" applyBorder="1" applyAlignment="1">
      <alignment horizontal="left" vertical="center" wrapText="1"/>
    </xf>
    <xf numFmtId="165" fontId="21" fillId="4" borderId="15" xfId="0" applyNumberFormat="1" applyFont="1" applyFill="1" applyBorder="1" applyAlignment="1">
      <alignment horizontal="left" vertical="center" wrapText="1"/>
    </xf>
    <xf numFmtId="165" fontId="21" fillId="4" borderId="7" xfId="0" applyNumberFormat="1" applyFont="1" applyFill="1" applyBorder="1" applyAlignment="1">
      <alignment horizontal="left" vertical="center" wrapText="1"/>
    </xf>
    <xf numFmtId="165" fontId="21" fillId="4" borderId="3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8" xfId="0" applyFont="1" applyFill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49" fontId="2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28" fillId="4" borderId="15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0" fontId="25" fillId="5" borderId="1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7" fontId="3" fillId="5" borderId="10" xfId="0" applyNumberFormat="1" applyFont="1" applyFill="1" applyBorder="1" applyAlignment="1">
      <alignment horizontal="center" vertical="center"/>
    </xf>
    <xf numFmtId="167" fontId="3" fillId="5" borderId="8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7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>
      <alignment horizontal="left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165" fontId="20" fillId="4" borderId="2" xfId="0" applyNumberFormat="1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49" fontId="28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 applyProtection="1">
      <alignment horizontal="center" vertical="center" wrapText="1"/>
      <protection locked="0"/>
    </xf>
    <xf numFmtId="0" fontId="28" fillId="5" borderId="13" xfId="0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0" fontId="28" fillId="5" borderId="3" xfId="0" applyFont="1" applyFill="1" applyBorder="1" applyAlignment="1" applyProtection="1">
      <alignment horizontal="center" vertical="center" wrapText="1"/>
      <protection locked="0"/>
    </xf>
    <xf numFmtId="165" fontId="19" fillId="5" borderId="10" xfId="0" applyNumberFormat="1" applyFont="1" applyFill="1" applyBorder="1" applyAlignment="1">
      <alignment horizontal="center" vertical="center" wrapText="1"/>
    </xf>
    <xf numFmtId="165" fontId="19" fillId="5" borderId="8" xfId="0" applyNumberFormat="1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5" fillId="5" borderId="12" xfId="0" applyFont="1" applyFill="1" applyBorder="1" applyAlignment="1">
      <alignment horizontal="left"/>
    </xf>
    <xf numFmtId="0" fontId="22" fillId="5" borderId="4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165" fontId="21" fillId="5" borderId="10" xfId="0" applyNumberFormat="1" applyFont="1" applyFill="1" applyBorder="1" applyAlignment="1">
      <alignment horizontal="center" vertical="center" wrapText="1"/>
    </xf>
    <xf numFmtId="165" fontId="21" fillId="5" borderId="8" xfId="0" applyNumberFormat="1" applyFont="1" applyFill="1" applyBorder="1" applyAlignment="1">
      <alignment horizontal="center" vertical="center" wrapText="1"/>
    </xf>
    <xf numFmtId="165" fontId="21" fillId="5" borderId="6" xfId="0" applyNumberFormat="1" applyFont="1" applyFill="1" applyBorder="1" applyAlignment="1">
      <alignment horizontal="center" vertical="center" wrapText="1"/>
    </xf>
    <xf numFmtId="165" fontId="21" fillId="5" borderId="11" xfId="0" applyNumberFormat="1" applyFont="1" applyFill="1" applyBorder="1" applyAlignment="1">
      <alignment horizontal="center" vertical="center" wrapText="1"/>
    </xf>
    <xf numFmtId="165" fontId="21" fillId="5" borderId="13" xfId="0" applyNumberFormat="1" applyFont="1" applyFill="1" applyBorder="1" applyAlignment="1">
      <alignment horizontal="center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165" fontId="21" fillId="5" borderId="14" xfId="0" applyNumberFormat="1" applyFont="1" applyFill="1" applyBorder="1" applyAlignment="1">
      <alignment horizontal="center" vertical="center" wrapText="1"/>
    </xf>
    <xf numFmtId="165" fontId="21" fillId="5" borderId="15" xfId="0" applyNumberFormat="1" applyFont="1" applyFill="1" applyBorder="1" applyAlignment="1">
      <alignment horizontal="center" vertical="center" wrapText="1"/>
    </xf>
    <xf numFmtId="165" fontId="21" fillId="5" borderId="3" xfId="0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58150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1757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5653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83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14850" y="37938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39509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44615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55473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5728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141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59093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60902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62712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64522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57" t="s">
        <v>40</v>
      </c>
      <c r="B1" s="258"/>
      <c r="C1" s="259" t="s">
        <v>41</v>
      </c>
      <c r="D1" s="251" t="s">
        <v>45</v>
      </c>
      <c r="E1" s="252"/>
      <c r="F1" s="253"/>
      <c r="G1" s="251" t="s">
        <v>18</v>
      </c>
      <c r="H1" s="252"/>
      <c r="I1" s="253"/>
      <c r="J1" s="251" t="s">
        <v>19</v>
      </c>
      <c r="K1" s="252"/>
      <c r="L1" s="253"/>
      <c r="M1" s="251" t="s">
        <v>23</v>
      </c>
      <c r="N1" s="252"/>
      <c r="O1" s="253"/>
      <c r="P1" s="254" t="s">
        <v>24</v>
      </c>
      <c r="Q1" s="255"/>
      <c r="R1" s="251" t="s">
        <v>25</v>
      </c>
      <c r="S1" s="252"/>
      <c r="T1" s="253"/>
      <c r="U1" s="251" t="s">
        <v>26</v>
      </c>
      <c r="V1" s="252"/>
      <c r="W1" s="253"/>
      <c r="X1" s="254" t="s">
        <v>27</v>
      </c>
      <c r="Y1" s="256"/>
      <c r="Z1" s="255"/>
      <c r="AA1" s="254" t="s">
        <v>28</v>
      </c>
      <c r="AB1" s="255"/>
      <c r="AC1" s="251" t="s">
        <v>29</v>
      </c>
      <c r="AD1" s="252"/>
      <c r="AE1" s="253"/>
      <c r="AF1" s="251" t="s">
        <v>30</v>
      </c>
      <c r="AG1" s="252"/>
      <c r="AH1" s="253"/>
      <c r="AI1" s="251" t="s">
        <v>31</v>
      </c>
      <c r="AJ1" s="252"/>
      <c r="AK1" s="253"/>
      <c r="AL1" s="254" t="s">
        <v>32</v>
      </c>
      <c r="AM1" s="255"/>
      <c r="AN1" s="251" t="s">
        <v>33</v>
      </c>
      <c r="AO1" s="252"/>
      <c r="AP1" s="253"/>
      <c r="AQ1" s="251" t="s">
        <v>34</v>
      </c>
      <c r="AR1" s="252"/>
      <c r="AS1" s="253"/>
      <c r="AT1" s="251" t="s">
        <v>35</v>
      </c>
      <c r="AU1" s="252"/>
      <c r="AV1" s="253"/>
    </row>
    <row r="2" spans="1:48" ht="39" customHeight="1">
      <c r="A2" s="258"/>
      <c r="B2" s="258"/>
      <c r="C2" s="259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59" t="s">
        <v>83</v>
      </c>
      <c r="B3" s="259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59"/>
      <c r="B4" s="259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59"/>
      <c r="B5" s="259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59"/>
      <c r="B6" s="259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59"/>
      <c r="B7" s="25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59"/>
      <c r="B8" s="259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59"/>
      <c r="B9" s="25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61" t="s">
        <v>58</v>
      </c>
      <c r="B1" s="261"/>
      <c r="C1" s="261"/>
      <c r="D1" s="261"/>
      <c r="E1" s="261"/>
    </row>
    <row r="2" spans="1:5">
      <c r="A2" s="12"/>
      <c r="B2" s="12"/>
      <c r="C2" s="12"/>
      <c r="D2" s="12"/>
      <c r="E2" s="12"/>
    </row>
    <row r="3" spans="1:5">
      <c r="A3" s="262" t="s">
        <v>130</v>
      </c>
      <c r="B3" s="262"/>
      <c r="C3" s="262"/>
      <c r="D3" s="262"/>
      <c r="E3" s="262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60" t="s">
        <v>79</v>
      </c>
      <c r="B26" s="260"/>
      <c r="C26" s="260"/>
      <c r="D26" s="260"/>
      <c r="E26" s="260"/>
    </row>
    <row r="27" spans="1:5">
      <c r="A27" s="28"/>
      <c r="B27" s="28"/>
      <c r="C27" s="28"/>
      <c r="D27" s="28"/>
      <c r="E27" s="28"/>
    </row>
    <row r="28" spans="1:5">
      <c r="A28" s="260" t="s">
        <v>80</v>
      </c>
      <c r="B28" s="260"/>
      <c r="C28" s="260"/>
      <c r="D28" s="260"/>
      <c r="E28" s="260"/>
    </row>
    <row r="29" spans="1:5">
      <c r="A29" s="260"/>
      <c r="B29" s="260"/>
      <c r="C29" s="260"/>
      <c r="D29" s="260"/>
      <c r="E29" s="260"/>
    </row>
  </sheetData>
  <mergeCells count="5">
    <mergeCell ref="A29:E29"/>
    <mergeCell ref="A1:E1"/>
    <mergeCell ref="A3:E3"/>
    <mergeCell ref="A26:E26"/>
    <mergeCell ref="A28:E28"/>
  </mergeCells>
  <phoneticPr fontId="17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8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0" t="s">
        <v>0</v>
      </c>
      <c r="B3" s="286" t="s">
        <v>46</v>
      </c>
      <c r="C3" s="286"/>
      <c r="D3" s="40" t="s">
        <v>18</v>
      </c>
      <c r="E3" s="52" t="s">
        <v>19</v>
      </c>
      <c r="F3" s="40" t="s">
        <v>23</v>
      </c>
      <c r="G3" s="52" t="s">
        <v>25</v>
      </c>
      <c r="H3" s="40" t="s">
        <v>26</v>
      </c>
      <c r="I3" s="52" t="s">
        <v>27</v>
      </c>
      <c r="J3" s="40" t="s">
        <v>29</v>
      </c>
      <c r="K3" s="52" t="s">
        <v>30</v>
      </c>
      <c r="L3" s="40" t="s">
        <v>31</v>
      </c>
      <c r="M3" s="52" t="s">
        <v>33</v>
      </c>
      <c r="N3" s="40" t="s">
        <v>34</v>
      </c>
      <c r="O3" s="52" t="s">
        <v>35</v>
      </c>
      <c r="P3" s="40" t="s">
        <v>81</v>
      </c>
      <c r="Q3" s="40" t="s">
        <v>50</v>
      </c>
      <c r="R3" s="39" t="s">
        <v>18</v>
      </c>
      <c r="S3" s="33" t="s">
        <v>19</v>
      </c>
      <c r="T3" s="39" t="s">
        <v>23</v>
      </c>
      <c r="U3" s="33" t="s">
        <v>25</v>
      </c>
      <c r="V3" s="39" t="s">
        <v>26</v>
      </c>
      <c r="W3" s="33" t="s">
        <v>27</v>
      </c>
      <c r="X3" s="39" t="s">
        <v>29</v>
      </c>
      <c r="Y3" s="33" t="s">
        <v>30</v>
      </c>
      <c r="Z3" s="39" t="s">
        <v>31</v>
      </c>
      <c r="AA3" s="33" t="s">
        <v>33</v>
      </c>
      <c r="AB3" s="39" t="s">
        <v>34</v>
      </c>
      <c r="AC3" s="33" t="s">
        <v>35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280" t="s">
        <v>2</v>
      </c>
      <c r="B5" s="268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280"/>
      <c r="B6" s="268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280"/>
      <c r="B7" s="268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280" t="s">
        <v>4</v>
      </c>
      <c r="B8" s="268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272" t="s">
        <v>205</v>
      </c>
      <c r="N8" s="273"/>
      <c r="O8" s="274"/>
      <c r="P8" s="60"/>
      <c r="Q8" s="60"/>
    </row>
    <row r="9" spans="1:256" ht="33.75" customHeight="1">
      <c r="A9" s="280"/>
      <c r="B9" s="268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280" t="s">
        <v>5</v>
      </c>
      <c r="B10" s="268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280"/>
      <c r="B11" s="268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280" t="s">
        <v>6</v>
      </c>
      <c r="B12" s="268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280"/>
      <c r="B13" s="268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280" t="s">
        <v>10</v>
      </c>
      <c r="B14" s="268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280"/>
      <c r="B15" s="268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5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79"/>
      <c r="AJ16" s="279"/>
      <c r="AK16" s="279"/>
      <c r="AZ16" s="279"/>
      <c r="BA16" s="279"/>
      <c r="BB16" s="279"/>
      <c r="BQ16" s="279"/>
      <c r="BR16" s="279"/>
      <c r="BS16" s="279"/>
      <c r="CH16" s="279"/>
      <c r="CI16" s="279"/>
      <c r="CJ16" s="279"/>
      <c r="CY16" s="279"/>
      <c r="CZ16" s="279"/>
      <c r="DA16" s="279"/>
      <c r="DP16" s="279"/>
      <c r="DQ16" s="279"/>
      <c r="DR16" s="279"/>
      <c r="EG16" s="279"/>
      <c r="EH16" s="279"/>
      <c r="EI16" s="279"/>
      <c r="EX16" s="279"/>
      <c r="EY16" s="279"/>
      <c r="EZ16" s="279"/>
      <c r="FO16" s="279"/>
      <c r="FP16" s="279"/>
      <c r="FQ16" s="279"/>
      <c r="GF16" s="279"/>
      <c r="GG16" s="279"/>
      <c r="GH16" s="279"/>
      <c r="GW16" s="279"/>
      <c r="GX16" s="279"/>
      <c r="GY16" s="279"/>
      <c r="HN16" s="279"/>
      <c r="HO16" s="279"/>
      <c r="HP16" s="279"/>
      <c r="IE16" s="279"/>
      <c r="IF16" s="279"/>
      <c r="IG16" s="279"/>
      <c r="IV16" s="279"/>
    </row>
    <row r="17" spans="1:17" ht="320.25" customHeight="1">
      <c r="A17" s="280" t="s">
        <v>7</v>
      </c>
      <c r="B17" s="268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280"/>
      <c r="B18" s="268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80" t="s">
        <v>8</v>
      </c>
      <c r="B19" s="268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280"/>
      <c r="B20" s="268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80" t="s">
        <v>9</v>
      </c>
      <c r="B21" s="268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80"/>
      <c r="B22" s="268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275" t="s">
        <v>15</v>
      </c>
      <c r="B23" s="278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277"/>
      <c r="B24" s="278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283" t="s">
        <v>16</v>
      </c>
      <c r="B25" s="278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283"/>
      <c r="B26" s="278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5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6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80" t="s">
        <v>94</v>
      </c>
      <c r="B31" s="268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80"/>
      <c r="B32" s="268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5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80" t="s">
        <v>96</v>
      </c>
      <c r="B34" s="268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80"/>
      <c r="B35" s="268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281" t="s">
        <v>98</v>
      </c>
      <c r="B36" s="269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282"/>
      <c r="B37" s="270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7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80" t="s">
        <v>100</v>
      </c>
      <c r="B39" s="268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287" t="s">
        <v>247</v>
      </c>
      <c r="I39" s="288"/>
      <c r="J39" s="288"/>
      <c r="K39" s="288"/>
      <c r="L39" s="288"/>
      <c r="M39" s="288"/>
      <c r="N39" s="288"/>
      <c r="O39" s="289"/>
      <c r="P39" s="59" t="s">
        <v>189</v>
      </c>
      <c r="Q39" s="60"/>
    </row>
    <row r="40" spans="1:17" ht="39.950000000000003" customHeight="1">
      <c r="A40" s="280" t="s">
        <v>11</v>
      </c>
      <c r="B40" s="268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80" t="s">
        <v>101</v>
      </c>
      <c r="B41" s="268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280"/>
      <c r="B42" s="268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80" t="s">
        <v>103</v>
      </c>
      <c r="B43" s="268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265" t="s">
        <v>192</v>
      </c>
      <c r="H43" s="266"/>
      <c r="I43" s="266"/>
      <c r="J43" s="266"/>
      <c r="K43" s="266"/>
      <c r="L43" s="266"/>
      <c r="M43" s="266"/>
      <c r="N43" s="266"/>
      <c r="O43" s="267"/>
      <c r="P43" s="60"/>
      <c r="Q43" s="60"/>
    </row>
    <row r="44" spans="1:17" ht="39.950000000000003" customHeight="1">
      <c r="A44" s="280"/>
      <c r="B44" s="268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80" t="s">
        <v>105</v>
      </c>
      <c r="B45" s="268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280" t="s">
        <v>13</v>
      </c>
      <c r="B46" s="268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284" t="s">
        <v>108</v>
      </c>
      <c r="B47" s="269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285"/>
      <c r="B48" s="270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284" t="s">
        <v>109</v>
      </c>
      <c r="B49" s="269" t="s">
        <v>110</v>
      </c>
      <c r="C49" s="88" t="s">
        <v>21</v>
      </c>
      <c r="D49" s="34" t="s">
        <v>248</v>
      </c>
      <c r="E49" s="34" t="s">
        <v>248</v>
      </c>
      <c r="F49" s="34" t="s">
        <v>248</v>
      </c>
      <c r="G49" s="34" t="s">
        <v>249</v>
      </c>
      <c r="H49" s="34" t="s">
        <v>250</v>
      </c>
      <c r="I49" s="98" t="s">
        <v>251</v>
      </c>
      <c r="J49" s="34" t="s">
        <v>252</v>
      </c>
      <c r="K49" s="34" t="s">
        <v>248</v>
      </c>
      <c r="L49" s="34" t="s">
        <v>253</v>
      </c>
      <c r="M49" s="34" t="s">
        <v>248</v>
      </c>
      <c r="N49" s="98" t="s">
        <v>254</v>
      </c>
      <c r="O49" s="34" t="s">
        <v>248</v>
      </c>
      <c r="P49" s="89"/>
      <c r="Q49" s="89"/>
    </row>
    <row r="50" spans="1:17" ht="39.950000000000003" customHeight="1">
      <c r="A50" s="285"/>
      <c r="B50" s="270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80" t="s">
        <v>111</v>
      </c>
      <c r="B51" s="268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280"/>
      <c r="B52" s="268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80" t="s">
        <v>114</v>
      </c>
      <c r="B53" s="268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80"/>
      <c r="B54" s="268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80" t="s">
        <v>115</v>
      </c>
      <c r="B55" s="268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80"/>
      <c r="B56" s="268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80" t="s">
        <v>117</v>
      </c>
      <c r="B57" s="268" t="s">
        <v>118</v>
      </c>
      <c r="C57" s="57" t="s">
        <v>21</v>
      </c>
      <c r="D57" s="97" t="s">
        <v>235</v>
      </c>
      <c r="E57" s="96"/>
      <c r="F57" s="96" t="s">
        <v>236</v>
      </c>
      <c r="G57" s="271" t="s">
        <v>233</v>
      </c>
      <c r="H57" s="271"/>
      <c r="I57" s="96" t="s">
        <v>237</v>
      </c>
      <c r="J57" s="96" t="s">
        <v>238</v>
      </c>
      <c r="K57" s="272" t="s">
        <v>239</v>
      </c>
      <c r="L57" s="273"/>
      <c r="M57" s="273"/>
      <c r="N57" s="273"/>
      <c r="O57" s="274"/>
      <c r="P57" s="92" t="s">
        <v>199</v>
      </c>
      <c r="Q57" s="60"/>
    </row>
    <row r="58" spans="1:17" ht="39.950000000000003" customHeight="1">
      <c r="A58" s="280"/>
      <c r="B58" s="268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275" t="s">
        <v>120</v>
      </c>
      <c r="B59" s="275" t="s">
        <v>119</v>
      </c>
      <c r="C59" s="275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276"/>
      <c r="B60" s="276"/>
      <c r="C60" s="276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276"/>
      <c r="B61" s="276"/>
      <c r="C61" s="277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277"/>
      <c r="B62" s="277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280" t="s">
        <v>121</v>
      </c>
      <c r="B63" s="268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280"/>
      <c r="B64" s="268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283" t="s">
        <v>123</v>
      </c>
      <c r="B65" s="278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283"/>
      <c r="B66" s="278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280" t="s">
        <v>125</v>
      </c>
      <c r="B67" s="268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280"/>
      <c r="B68" s="268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284" t="s">
        <v>127</v>
      </c>
      <c r="B69" s="269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285"/>
      <c r="B70" s="270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263" t="s">
        <v>255</v>
      </c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264" t="s">
        <v>216</v>
      </c>
      <c r="C79" s="264"/>
      <c r="D79" s="264"/>
      <c r="E79" s="26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IV16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</mergeCells>
  <phoneticPr fontId="17" type="noConversion"/>
  <conditionalFormatting sqref="R5:AN6 R7:AC70">
    <cfRule type="expression" dxfId="4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180"/>
  <sheetViews>
    <sheetView workbookViewId="0">
      <pane xSplit="4" ySplit="8" topLeftCell="E13" activePane="bottomRight" state="frozen"/>
      <selection pane="topRight" activeCell="E1" sqref="E1"/>
      <selection pane="bottomLeft" activeCell="A9" sqref="A9"/>
      <selection pane="bottomRight" activeCell="A13" sqref="A13:A16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hidden="1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hidden="1" customWidth="1"/>
    <col min="46" max="46" width="44.7109375" hidden="1" customWidth="1"/>
    <col min="47" max="50" width="0" hidden="1" customWidth="1"/>
  </cols>
  <sheetData>
    <row r="1" spans="1:49" s="31" customFormat="1" ht="20.25" customHeight="1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40.5" customHeight="1">
      <c r="A2" s="290" t="s">
        <v>321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152"/>
    </row>
    <row r="3" spans="1:49" s="118" customFormat="1" ht="10.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153"/>
    </row>
    <row r="4" spans="1:49" s="31" customFormat="1" ht="30" customHeight="1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41.25" customHeight="1">
      <c r="A5" s="292" t="s">
        <v>0</v>
      </c>
      <c r="B5" s="292" t="s">
        <v>261</v>
      </c>
      <c r="C5" s="293" t="s">
        <v>47</v>
      </c>
      <c r="D5" s="293" t="s">
        <v>262</v>
      </c>
      <c r="E5" s="292" t="s">
        <v>1</v>
      </c>
      <c r="F5" s="292" t="s">
        <v>263</v>
      </c>
      <c r="G5" s="292"/>
      <c r="H5" s="292"/>
      <c r="I5" s="292" t="s">
        <v>18</v>
      </c>
      <c r="J5" s="292"/>
      <c r="K5" s="292"/>
      <c r="L5" s="292" t="s">
        <v>19</v>
      </c>
      <c r="M5" s="292"/>
      <c r="N5" s="292"/>
      <c r="O5" s="292" t="s">
        <v>23</v>
      </c>
      <c r="P5" s="292"/>
      <c r="Q5" s="292"/>
      <c r="R5" s="292" t="s">
        <v>25</v>
      </c>
      <c r="S5" s="292"/>
      <c r="T5" s="292"/>
      <c r="U5" s="292" t="s">
        <v>26</v>
      </c>
      <c r="V5" s="292"/>
      <c r="W5" s="292"/>
      <c r="X5" s="292" t="s">
        <v>27</v>
      </c>
      <c r="Y5" s="292"/>
      <c r="Z5" s="292"/>
      <c r="AA5" s="292" t="s">
        <v>29</v>
      </c>
      <c r="AB5" s="292"/>
      <c r="AC5" s="292"/>
      <c r="AD5" s="292" t="s">
        <v>30</v>
      </c>
      <c r="AE5" s="292"/>
      <c r="AF5" s="292"/>
      <c r="AG5" s="292" t="s">
        <v>31</v>
      </c>
      <c r="AH5" s="292"/>
      <c r="AI5" s="292"/>
      <c r="AJ5" s="292" t="s">
        <v>33</v>
      </c>
      <c r="AK5" s="292"/>
      <c r="AL5" s="292"/>
      <c r="AM5" s="292" t="s">
        <v>34</v>
      </c>
      <c r="AN5" s="292"/>
      <c r="AO5" s="292"/>
      <c r="AP5" s="292" t="s">
        <v>35</v>
      </c>
      <c r="AQ5" s="292"/>
      <c r="AR5" s="292"/>
      <c r="AS5" s="295" t="s">
        <v>273</v>
      </c>
      <c r="AT5" s="296" t="s">
        <v>274</v>
      </c>
      <c r="AU5" s="32"/>
      <c r="AV5" s="32"/>
    </row>
    <row r="6" spans="1:49" s="31" customFormat="1" ht="24.75" customHeight="1">
      <c r="A6" s="292"/>
      <c r="B6" s="292"/>
      <c r="C6" s="294"/>
      <c r="D6" s="294"/>
      <c r="E6" s="292"/>
      <c r="F6" s="154" t="s">
        <v>264</v>
      </c>
      <c r="G6" s="154" t="s">
        <v>265</v>
      </c>
      <c r="H6" s="128" t="s">
        <v>266</v>
      </c>
      <c r="I6" s="154" t="s">
        <v>264</v>
      </c>
      <c r="J6" s="154" t="s">
        <v>265</v>
      </c>
      <c r="K6" s="128" t="s">
        <v>266</v>
      </c>
      <c r="L6" s="154" t="s">
        <v>264</v>
      </c>
      <c r="M6" s="154" t="s">
        <v>265</v>
      </c>
      <c r="N6" s="128" t="s">
        <v>266</v>
      </c>
      <c r="O6" s="154" t="s">
        <v>264</v>
      </c>
      <c r="P6" s="154" t="s">
        <v>265</v>
      </c>
      <c r="Q6" s="128" t="s">
        <v>266</v>
      </c>
      <c r="R6" s="154" t="s">
        <v>264</v>
      </c>
      <c r="S6" s="154" t="s">
        <v>265</v>
      </c>
      <c r="T6" s="128" t="s">
        <v>266</v>
      </c>
      <c r="U6" s="154" t="s">
        <v>264</v>
      </c>
      <c r="V6" s="154" t="s">
        <v>265</v>
      </c>
      <c r="W6" s="128" t="s">
        <v>266</v>
      </c>
      <c r="X6" s="154" t="s">
        <v>264</v>
      </c>
      <c r="Y6" s="154" t="s">
        <v>265</v>
      </c>
      <c r="Z6" s="128" t="s">
        <v>266</v>
      </c>
      <c r="AA6" s="154" t="s">
        <v>264</v>
      </c>
      <c r="AB6" s="154" t="s">
        <v>265</v>
      </c>
      <c r="AC6" s="128" t="s">
        <v>266</v>
      </c>
      <c r="AD6" s="154" t="s">
        <v>264</v>
      </c>
      <c r="AE6" s="154" t="s">
        <v>265</v>
      </c>
      <c r="AF6" s="128" t="s">
        <v>266</v>
      </c>
      <c r="AG6" s="154" t="s">
        <v>264</v>
      </c>
      <c r="AH6" s="154" t="s">
        <v>265</v>
      </c>
      <c r="AI6" s="128" t="s">
        <v>266</v>
      </c>
      <c r="AJ6" s="154" t="s">
        <v>264</v>
      </c>
      <c r="AK6" s="154" t="s">
        <v>265</v>
      </c>
      <c r="AL6" s="128" t="s">
        <v>266</v>
      </c>
      <c r="AM6" s="154" t="s">
        <v>264</v>
      </c>
      <c r="AN6" s="154" t="s">
        <v>265</v>
      </c>
      <c r="AO6" s="128" t="s">
        <v>266</v>
      </c>
      <c r="AP6" s="154" t="s">
        <v>264</v>
      </c>
      <c r="AQ6" s="154" t="s">
        <v>265</v>
      </c>
      <c r="AR6" s="128" t="s">
        <v>266</v>
      </c>
      <c r="AS6" s="295"/>
      <c r="AT6" s="296"/>
    </row>
    <row r="7" spans="1:49" s="31" customFormat="1" ht="24.75" customHeight="1">
      <c r="A7" s="297" t="s">
        <v>322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9"/>
    </row>
    <row r="8" spans="1:49" s="31" customFormat="1" ht="24.75" customHeight="1">
      <c r="A8" s="297" t="s">
        <v>294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9"/>
    </row>
    <row r="9" spans="1:49" s="100" customFormat="1" ht="12.75" customHeight="1">
      <c r="A9" s="300" t="s">
        <v>267</v>
      </c>
      <c r="B9" s="301"/>
      <c r="C9" s="301"/>
      <c r="D9" s="302"/>
      <c r="E9" s="129" t="s">
        <v>42</v>
      </c>
      <c r="F9" s="106">
        <f>F10+F11+F12</f>
        <v>387855.89999999991</v>
      </c>
      <c r="G9" s="106">
        <f t="shared" ref="G9:AP9" si="0">G10+G11+G12</f>
        <v>0</v>
      </c>
      <c r="H9" s="106">
        <f>G9/F9*100</f>
        <v>0</v>
      </c>
      <c r="I9" s="106">
        <f t="shared" si="0"/>
        <v>14263.3</v>
      </c>
      <c r="J9" s="106">
        <f t="shared" si="0"/>
        <v>0</v>
      </c>
      <c r="K9" s="106">
        <f>J9/I9*100</f>
        <v>0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33406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34593.499999999993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43737.299999999996</v>
      </c>
      <c r="AQ9" s="106" t="e">
        <f>#REF!+#REF!</f>
        <v>#REF!</v>
      </c>
      <c r="AR9" s="106" t="e">
        <f>#REF!+#REF!</f>
        <v>#REF!</v>
      </c>
      <c r="AS9" s="309"/>
      <c r="AT9" s="312"/>
      <c r="AU9" s="127"/>
    </row>
    <row r="10" spans="1:49" s="100" customFormat="1" ht="36">
      <c r="A10" s="303"/>
      <c r="B10" s="304"/>
      <c r="C10" s="304"/>
      <c r="D10" s="305"/>
      <c r="E10" s="111" t="s">
        <v>3</v>
      </c>
      <c r="F10" s="106">
        <f>F14+F18+F23+F26+F30</f>
        <v>93990.699999999983</v>
      </c>
      <c r="G10" s="106">
        <f>G14+G18+G23+G26+G30</f>
        <v>0</v>
      </c>
      <c r="H10" s="106">
        <f>G10/F10*100</f>
        <v>0</v>
      </c>
      <c r="I10" s="106">
        <f>I14+I18+I23+I26+I30</f>
        <v>949.6</v>
      </c>
      <c r="J10" s="106">
        <f>J14+J18+J23+J26+J30</f>
        <v>0</v>
      </c>
      <c r="K10" s="106">
        <f t="shared" ref="K10:K12" si="1">J10/I10*100</f>
        <v>0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7360.1999999999989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19745.599999999999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0"/>
      <c r="AT10" s="313"/>
      <c r="AU10" s="127"/>
    </row>
    <row r="11" spans="1:49" s="100" customFormat="1" ht="24">
      <c r="A11" s="303"/>
      <c r="B11" s="304"/>
      <c r="C11" s="304"/>
      <c r="D11" s="305"/>
      <c r="E11" s="111" t="s">
        <v>44</v>
      </c>
      <c r="F11" s="106">
        <f>F15+F19+F24+F27+F31</f>
        <v>288033.09999999998</v>
      </c>
      <c r="G11" s="106">
        <f>G15+G19+G24+G27+G31</f>
        <v>0</v>
      </c>
      <c r="H11" s="106">
        <f>G11/F11*100</f>
        <v>0</v>
      </c>
      <c r="I11" s="106">
        <f>I15+I19+I24+I27+I31</f>
        <v>13051.9</v>
      </c>
      <c r="J11" s="106">
        <f>J15+J19+J24+J27+J31</f>
        <v>0</v>
      </c>
      <c r="K11" s="106">
        <f t="shared" si="1"/>
        <v>0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26640.999999999993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0"/>
      <c r="AT11" s="313"/>
      <c r="AU11" s="127"/>
    </row>
    <row r="12" spans="1:49" s="100" customFormat="1" ht="24">
      <c r="A12" s="306"/>
      <c r="B12" s="307"/>
      <c r="C12" s="307"/>
      <c r="D12" s="308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1"/>
      <c r="AT12" s="314"/>
      <c r="AU12" s="127"/>
    </row>
    <row r="13" spans="1:49" s="31" customFormat="1" ht="31.5" customHeight="1">
      <c r="A13" s="315" t="s">
        <v>323</v>
      </c>
      <c r="B13" s="318" t="s">
        <v>324</v>
      </c>
      <c r="C13" s="321" t="s">
        <v>325</v>
      </c>
      <c r="D13" s="321" t="s">
        <v>326</v>
      </c>
      <c r="E13" s="107" t="s">
        <v>42</v>
      </c>
      <c r="F13" s="123">
        <f>SUM(F14:F16)</f>
        <v>300702.99999999994</v>
      </c>
      <c r="G13" s="123">
        <f t="shared" ref="G13:P13" si="7">SUM(G14:G16)</f>
        <v>0</v>
      </c>
      <c r="H13" s="123">
        <f>G13/F13*100</f>
        <v>0</v>
      </c>
      <c r="I13" s="123">
        <f t="shared" si="7"/>
        <v>6636.9000000000005</v>
      </c>
      <c r="J13" s="123">
        <f t="shared" si="7"/>
        <v>0</v>
      </c>
      <c r="K13" s="123">
        <f t="shared" si="7"/>
        <v>0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25852.799999999999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26660.099999999995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36679.599999999999</v>
      </c>
      <c r="AQ13" s="123">
        <f t="shared" si="8"/>
        <v>0</v>
      </c>
      <c r="AR13" s="123">
        <f t="shared" si="8"/>
        <v>0</v>
      </c>
      <c r="AS13" s="324" t="s">
        <v>309</v>
      </c>
      <c r="AT13" s="331" t="s">
        <v>308</v>
      </c>
      <c r="AU13" s="121">
        <f>I13+L13+O13+R13+U13+X13+AA13+AD13+AG13</f>
        <v>232355.5</v>
      </c>
      <c r="AV13" s="121">
        <f>J13+M13+P13+S13+V13+Y13+AB13+AE13+AH13</f>
        <v>0</v>
      </c>
      <c r="AW13" s="155">
        <f>AV13/AU13*100</f>
        <v>0</v>
      </c>
    </row>
    <row r="14" spans="1:49" s="31" customFormat="1" ht="53.25" customHeight="1">
      <c r="A14" s="316"/>
      <c r="B14" s="319"/>
      <c r="C14" s="322"/>
      <c r="D14" s="322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0</v>
      </c>
      <c r="H14" s="123">
        <v>0</v>
      </c>
      <c r="I14" s="123">
        <f>47.4+15+887.2</f>
        <v>949.6</v>
      </c>
      <c r="J14" s="123">
        <v>0</v>
      </c>
      <c r="K14" s="123">
        <v>0</v>
      </c>
      <c r="L14" s="123">
        <f>5300+92.5+1181.4</f>
        <v>6573.9</v>
      </c>
      <c r="M14" s="123">
        <v>0</v>
      </c>
      <c r="N14" s="123">
        <v>0</v>
      </c>
      <c r="O14" s="123">
        <f>5300+79.4+1165.4-6.3</f>
        <v>6538.4999999999991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</f>
        <v>19525.599999999999</v>
      </c>
      <c r="AQ14" s="123"/>
      <c r="AR14" s="123"/>
      <c r="AS14" s="325"/>
      <c r="AT14" s="332"/>
      <c r="AU14" s="121"/>
      <c r="AV14" s="121"/>
      <c r="AW14" s="155"/>
    </row>
    <row r="15" spans="1:49" s="31" customFormat="1" ht="46.5" customHeight="1">
      <c r="A15" s="316"/>
      <c r="B15" s="319"/>
      <c r="C15" s="322"/>
      <c r="D15" s="322"/>
      <c r="E15" s="108" t="s">
        <v>44</v>
      </c>
      <c r="F15" s="123">
        <f t="shared" ref="F15:F16" si="9">I15+L15+O15+R15+U15+X15+AA15+AD15+AG15+AJ15+AM15+AP15</f>
        <v>203427.59999999998</v>
      </c>
      <c r="G15" s="123">
        <f t="shared" ref="G15:G16" si="10">J15+M15+P15+S15+V15+Y15+AB15+AE15+AH15+AK15+AN15+AQ15</f>
        <v>0</v>
      </c>
      <c r="H15" s="123">
        <f>G15/F15*100</f>
        <v>0</v>
      </c>
      <c r="I15" s="123">
        <f>40+428.8+4937+6.7+13</f>
        <v>5425.5</v>
      </c>
      <c r="J15" s="123">
        <v>0</v>
      </c>
      <c r="K15" s="123">
        <f>J15/I15*100</f>
        <v>0</v>
      </c>
      <c r="L15" s="123">
        <f>517.2+2195.7+21252+496.8+361.9+645.7</f>
        <v>25469.300000000003</v>
      </c>
      <c r="M15" s="123">
        <v>0</v>
      </c>
      <c r="N15" s="123">
        <f t="shared" ref="N15:N22" si="11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2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</f>
        <v>18848.999999999996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25"/>
      <c r="AT15" s="332"/>
      <c r="AU15" s="121">
        <f t="shared" ref="AU15:AU29" si="15">I15+L15+O15+R15+U15+X15+AA15+AD15+AG15</f>
        <v>169534.19999999998</v>
      </c>
      <c r="AV15" s="121">
        <f t="shared" ref="AV15:AV29" si="16">J15+M15+P15+S15+V15+Y15+AB15+AE15+AH15</f>
        <v>0</v>
      </c>
      <c r="AW15" s="155">
        <f t="shared" ref="AW15:AW29" si="17">AV15/AU15*100</f>
        <v>0</v>
      </c>
    </row>
    <row r="16" spans="1:49" s="31" customFormat="1" ht="61.5" customHeight="1">
      <c r="A16" s="317"/>
      <c r="B16" s="320"/>
      <c r="C16" s="323"/>
      <c r="D16" s="323"/>
      <c r="E16" s="109" t="s">
        <v>257</v>
      </c>
      <c r="F16" s="123">
        <f t="shared" si="9"/>
        <v>5832.1</v>
      </c>
      <c r="G16" s="123">
        <f t="shared" si="10"/>
        <v>0</v>
      </c>
      <c r="H16" s="123">
        <v>0</v>
      </c>
      <c r="I16" s="123">
        <v>261.8</v>
      </c>
      <c r="J16" s="123">
        <v>0</v>
      </c>
      <c r="K16" s="123"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26"/>
      <c r="AT16" s="333"/>
      <c r="AU16" s="121"/>
      <c r="AV16" s="121"/>
      <c r="AW16" s="155"/>
    </row>
    <row r="17" spans="1:49" s="31" customFormat="1" ht="12.75">
      <c r="A17" s="315" t="s">
        <v>327</v>
      </c>
      <c r="B17" s="318" t="s">
        <v>328</v>
      </c>
      <c r="C17" s="321" t="s">
        <v>329</v>
      </c>
      <c r="D17" s="327" t="s">
        <v>330</v>
      </c>
      <c r="E17" s="107" t="s">
        <v>42</v>
      </c>
      <c r="F17" s="123">
        <f>SUM(F18:F20)</f>
        <v>77800</v>
      </c>
      <c r="G17" s="123">
        <f t="shared" ref="G17:P17" si="18">SUM(G18:G20)</f>
        <v>0</v>
      </c>
      <c r="H17" s="123">
        <f>G17/F17*100</f>
        <v>0</v>
      </c>
      <c r="I17" s="123">
        <f t="shared" si="18"/>
        <v>7091.6</v>
      </c>
      <c r="J17" s="123">
        <f t="shared" si="18"/>
        <v>0</v>
      </c>
      <c r="K17" s="123">
        <f>J17/I17*100</f>
        <v>0</v>
      </c>
      <c r="L17" s="123">
        <f t="shared" si="18"/>
        <v>7886.9</v>
      </c>
      <c r="M17" s="123">
        <f t="shared" si="18"/>
        <v>0</v>
      </c>
      <c r="N17" s="123">
        <f t="shared" si="11"/>
        <v>0</v>
      </c>
      <c r="O17" s="123">
        <f t="shared" si="18"/>
        <v>6038</v>
      </c>
      <c r="P17" s="123">
        <f t="shared" si="18"/>
        <v>0</v>
      </c>
      <c r="Q17" s="123">
        <f t="shared" si="12"/>
        <v>0</v>
      </c>
      <c r="R17" s="123">
        <f t="shared" ref="R17:AB17" si="19">SUM(R18:R20)</f>
        <v>6900</v>
      </c>
      <c r="S17" s="123">
        <f t="shared" si="19"/>
        <v>0</v>
      </c>
      <c r="T17" s="123">
        <f t="shared" si="13"/>
        <v>0</v>
      </c>
      <c r="U17" s="123">
        <f t="shared" si="19"/>
        <v>6826.3</v>
      </c>
      <c r="V17" s="123">
        <f t="shared" si="19"/>
        <v>0</v>
      </c>
      <c r="W17" s="123">
        <f t="shared" ref="W17" si="20">V17/U17*100</f>
        <v>0</v>
      </c>
      <c r="X17" s="123">
        <f t="shared" si="19"/>
        <v>7190.9</v>
      </c>
      <c r="Y17" s="123">
        <f t="shared" si="19"/>
        <v>0</v>
      </c>
      <c r="Z17" s="123">
        <f>Y17/X17*100</f>
        <v>0</v>
      </c>
      <c r="AA17" s="104">
        <f t="shared" si="19"/>
        <v>7431.5</v>
      </c>
      <c r="AB17" s="123">
        <f t="shared" si="19"/>
        <v>0</v>
      </c>
      <c r="AC17" s="123">
        <f>SUM(AC18:AC20)</f>
        <v>0</v>
      </c>
      <c r="AD17" s="104">
        <f t="shared" ref="AD17:AR17" si="21">SUM(AD18:AD20)</f>
        <v>6016.2</v>
      </c>
      <c r="AE17" s="104">
        <f t="shared" si="21"/>
        <v>0</v>
      </c>
      <c r="AF17" s="104">
        <f t="shared" si="6"/>
        <v>0</v>
      </c>
      <c r="AG17" s="104">
        <f t="shared" si="21"/>
        <v>5470</v>
      </c>
      <c r="AH17" s="123">
        <f t="shared" si="21"/>
        <v>0</v>
      </c>
      <c r="AI17" s="123">
        <f t="shared" si="21"/>
        <v>0</v>
      </c>
      <c r="AJ17" s="123">
        <f t="shared" si="21"/>
        <v>5540.8</v>
      </c>
      <c r="AK17" s="123">
        <f t="shared" si="21"/>
        <v>0</v>
      </c>
      <c r="AL17" s="123">
        <f t="shared" si="21"/>
        <v>0</v>
      </c>
      <c r="AM17" s="104">
        <f t="shared" si="21"/>
        <v>5036.7</v>
      </c>
      <c r="AN17" s="123">
        <f t="shared" si="21"/>
        <v>0</v>
      </c>
      <c r="AO17" s="123">
        <f t="shared" si="21"/>
        <v>0</v>
      </c>
      <c r="AP17" s="104">
        <f t="shared" si="21"/>
        <v>6371.1</v>
      </c>
      <c r="AQ17" s="123">
        <f t="shared" si="21"/>
        <v>0</v>
      </c>
      <c r="AR17" s="123">
        <f t="shared" si="21"/>
        <v>0</v>
      </c>
      <c r="AS17" s="324" t="s">
        <v>299</v>
      </c>
      <c r="AT17" s="331" t="s">
        <v>296</v>
      </c>
      <c r="AU17" s="121">
        <f t="shared" si="15"/>
        <v>60851.4</v>
      </c>
      <c r="AV17" s="121">
        <f t="shared" si="16"/>
        <v>0</v>
      </c>
      <c r="AW17" s="155">
        <f t="shared" si="17"/>
        <v>0</v>
      </c>
    </row>
    <row r="18" spans="1:49" s="31" customFormat="1" ht="36">
      <c r="A18" s="316"/>
      <c r="B18" s="319"/>
      <c r="C18" s="322"/>
      <c r="D18" s="328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25"/>
      <c r="AT18" s="332"/>
      <c r="AU18" s="121">
        <f t="shared" si="15"/>
        <v>0</v>
      </c>
      <c r="AV18" s="121">
        <f t="shared" si="16"/>
        <v>0</v>
      </c>
      <c r="AW18" s="155" t="e">
        <f t="shared" si="17"/>
        <v>#DIV/0!</v>
      </c>
    </row>
    <row r="19" spans="1:49" s="31" customFormat="1" ht="12.75">
      <c r="A19" s="316"/>
      <c r="B19" s="319"/>
      <c r="C19" s="322"/>
      <c r="D19" s="328"/>
      <c r="E19" s="108" t="s">
        <v>44</v>
      </c>
      <c r="F19" s="123">
        <f t="shared" ref="F19:F20" si="22">I19+L19+O19+R19+U19+X19+AA19+AD19+AG19+AJ19+AM19+AP19</f>
        <v>77800</v>
      </c>
      <c r="G19" s="123">
        <f t="shared" ref="G19:G20" si="23">J19+M19+P19+S19+V19+Y19+AB19+AE19+AH19+AK19+AN19+AQ19</f>
        <v>0</v>
      </c>
      <c r="H19" s="123">
        <v>0</v>
      </c>
      <c r="I19" s="123">
        <v>7091.6</v>
      </c>
      <c r="J19" s="123">
        <v>0</v>
      </c>
      <c r="K19" s="123">
        <v>0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25"/>
      <c r="AT19" s="332"/>
      <c r="AU19" s="121"/>
      <c r="AV19" s="121"/>
      <c r="AW19" s="155"/>
    </row>
    <row r="20" spans="1:49" s="31" customFormat="1" ht="63" customHeight="1">
      <c r="A20" s="317"/>
      <c r="B20" s="320"/>
      <c r="C20" s="323"/>
      <c r="D20" s="334"/>
      <c r="E20" s="109" t="s">
        <v>257</v>
      </c>
      <c r="F20" s="123">
        <f t="shared" si="22"/>
        <v>0</v>
      </c>
      <c r="G20" s="123">
        <f t="shared" si="23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26"/>
      <c r="AT20" s="333"/>
      <c r="AU20" s="121">
        <f t="shared" si="15"/>
        <v>0</v>
      </c>
      <c r="AV20" s="121">
        <f t="shared" si="16"/>
        <v>0</v>
      </c>
      <c r="AW20" s="155" t="e">
        <f t="shared" si="17"/>
        <v>#DIV/0!</v>
      </c>
    </row>
    <row r="21" spans="1:49" s="31" customFormat="1" ht="74.25" customHeight="1">
      <c r="A21" s="157" t="s">
        <v>331</v>
      </c>
      <c r="B21" s="164" t="s">
        <v>332</v>
      </c>
      <c r="C21" s="158" t="s">
        <v>333</v>
      </c>
      <c r="D21" s="169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63" t="s">
        <v>319</v>
      </c>
      <c r="AT21" s="167" t="s">
        <v>297</v>
      </c>
      <c r="AU21" s="121" t="e">
        <f t="shared" ref="AU21" si="24">I21+L21+O21+R21+U21+X21+AA21+AD21+AG21</f>
        <v>#VALUE!</v>
      </c>
      <c r="AV21" s="121" t="e">
        <f t="shared" ref="AV21" si="25">J21+M21+P21+S21+V21+Y21+AB21+AE21+AH21</f>
        <v>#VALUE!</v>
      </c>
      <c r="AW21" s="155" t="e">
        <f t="shared" ref="AW21" si="26">AV21/AU21*100</f>
        <v>#VALUE!</v>
      </c>
    </row>
    <row r="22" spans="1:49" s="31" customFormat="1" ht="12.75">
      <c r="A22" s="315" t="s">
        <v>334</v>
      </c>
      <c r="B22" s="318" t="s">
        <v>335</v>
      </c>
      <c r="C22" s="321" t="s">
        <v>268</v>
      </c>
      <c r="D22" s="327" t="s">
        <v>336</v>
      </c>
      <c r="E22" s="107" t="s">
        <v>42</v>
      </c>
      <c r="F22" s="123">
        <f>SUM(F23:F24)</f>
        <v>3987.3</v>
      </c>
      <c r="G22" s="123">
        <f>SUM(G23:G24)</f>
        <v>0</v>
      </c>
      <c r="H22" s="123">
        <f>G22/F22*100</f>
        <v>0</v>
      </c>
      <c r="I22" s="123">
        <f>SUM(I23:I24)</f>
        <v>326</v>
      </c>
      <c r="J22" s="123">
        <f>SUM(J23:J24)</f>
        <v>0</v>
      </c>
      <c r="K22" s="123">
        <f t="shared" ref="K22" si="27">J22/I22*100</f>
        <v>0</v>
      </c>
      <c r="L22" s="123">
        <f>SUM(L23:L24)</f>
        <v>326</v>
      </c>
      <c r="M22" s="123">
        <f>SUM(M23:M24)</f>
        <v>0</v>
      </c>
      <c r="N22" s="123">
        <f t="shared" si="11"/>
        <v>0</v>
      </c>
      <c r="O22" s="123">
        <f>SUM(O23:O24)</f>
        <v>326</v>
      </c>
      <c r="P22" s="123">
        <f>SUM(P23:P24)</f>
        <v>0</v>
      </c>
      <c r="Q22" s="123">
        <f t="shared" si="12"/>
        <v>0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8">V22/U22*100</f>
        <v>0</v>
      </c>
      <c r="X22" s="123">
        <f t="shared" ref="X22:AE22" si="29">SUM(X23:X24)</f>
        <v>326</v>
      </c>
      <c r="Y22" s="123">
        <f t="shared" si="29"/>
        <v>0</v>
      </c>
      <c r="Z22" s="123">
        <f t="shared" si="29"/>
        <v>0</v>
      </c>
      <c r="AA22" s="104">
        <f t="shared" si="29"/>
        <v>326</v>
      </c>
      <c r="AB22" s="123">
        <f t="shared" si="29"/>
        <v>0</v>
      </c>
      <c r="AC22" s="123">
        <f t="shared" si="29"/>
        <v>0</v>
      </c>
      <c r="AD22" s="104">
        <f t="shared" si="29"/>
        <v>326</v>
      </c>
      <c r="AE22" s="104">
        <f t="shared" si="29"/>
        <v>0</v>
      </c>
      <c r="AF22" s="104">
        <f t="shared" si="6"/>
        <v>0</v>
      </c>
      <c r="AG22" s="104">
        <f t="shared" ref="AG22:AR22" si="30">SUM(AG23:AG24)</f>
        <v>326</v>
      </c>
      <c r="AH22" s="123">
        <f t="shared" si="30"/>
        <v>0</v>
      </c>
      <c r="AI22" s="123">
        <f t="shared" si="30"/>
        <v>0</v>
      </c>
      <c r="AJ22" s="123">
        <f t="shared" si="30"/>
        <v>326</v>
      </c>
      <c r="AK22" s="123">
        <f t="shared" si="30"/>
        <v>0</v>
      </c>
      <c r="AL22" s="123">
        <f t="shared" si="30"/>
        <v>0</v>
      </c>
      <c r="AM22" s="104">
        <f t="shared" si="30"/>
        <v>326</v>
      </c>
      <c r="AN22" s="123">
        <f t="shared" si="30"/>
        <v>0</v>
      </c>
      <c r="AO22" s="123">
        <f t="shared" si="30"/>
        <v>0</v>
      </c>
      <c r="AP22" s="104">
        <f t="shared" si="30"/>
        <v>401.3</v>
      </c>
      <c r="AQ22" s="123">
        <f t="shared" si="30"/>
        <v>0</v>
      </c>
      <c r="AR22" s="123">
        <f t="shared" si="30"/>
        <v>0</v>
      </c>
      <c r="AS22" s="324" t="s">
        <v>319</v>
      </c>
      <c r="AT22" s="329" t="s">
        <v>297</v>
      </c>
      <c r="AU22" s="121">
        <f t="shared" si="15"/>
        <v>2934</v>
      </c>
      <c r="AV22" s="121">
        <f t="shared" si="16"/>
        <v>0</v>
      </c>
      <c r="AW22" s="155">
        <f t="shared" si="17"/>
        <v>0</v>
      </c>
    </row>
    <row r="23" spans="1:49" s="31" customFormat="1" ht="36">
      <c r="A23" s="316"/>
      <c r="B23" s="319"/>
      <c r="C23" s="322"/>
      <c r="D23" s="328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25"/>
      <c r="AT23" s="330"/>
      <c r="AU23" s="121">
        <f t="shared" si="15"/>
        <v>0</v>
      </c>
      <c r="AV23" s="121">
        <f t="shared" si="16"/>
        <v>0</v>
      </c>
      <c r="AW23" s="155" t="e">
        <f t="shared" si="17"/>
        <v>#DIV/0!</v>
      </c>
    </row>
    <row r="24" spans="1:49" s="31" customFormat="1" ht="12.75">
      <c r="A24" s="316"/>
      <c r="B24" s="319"/>
      <c r="C24" s="322"/>
      <c r="D24" s="328"/>
      <c r="E24" s="108" t="s">
        <v>44</v>
      </c>
      <c r="F24" s="123">
        <f t="shared" ref="F24" si="31">I24+L24+O24+R24+U24+X24+AA24+AD24+AG24+AJ24+AM24+AP24</f>
        <v>3987.3</v>
      </c>
      <c r="G24" s="123">
        <f t="shared" ref="G24" si="32">J24+M24+P24+S24+V24+Y24+AB24+AE24+AH24+AK24+AN24+AQ24</f>
        <v>0</v>
      </c>
      <c r="H24" s="123">
        <v>0</v>
      </c>
      <c r="I24" s="123">
        <v>326</v>
      </c>
      <c r="J24" s="123">
        <v>0</v>
      </c>
      <c r="K24" s="123">
        <v>0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25"/>
      <c r="AT24" s="330"/>
      <c r="AU24" s="121"/>
      <c r="AV24" s="121"/>
      <c r="AW24" s="155"/>
    </row>
    <row r="25" spans="1:49" s="31" customFormat="1" ht="12.75">
      <c r="A25" s="315" t="s">
        <v>337</v>
      </c>
      <c r="B25" s="318" t="s">
        <v>338</v>
      </c>
      <c r="C25" s="321" t="s">
        <v>339</v>
      </c>
      <c r="D25" s="327" t="s">
        <v>340</v>
      </c>
      <c r="E25" s="107" t="s">
        <v>42</v>
      </c>
      <c r="F25" s="123">
        <f>SUM(F26:F28)</f>
        <v>5215.6000000000004</v>
      </c>
      <c r="G25" s="123">
        <f t="shared" ref="G25:P25" si="33">SUM(G26:G28)</f>
        <v>0</v>
      </c>
      <c r="H25" s="123">
        <f>G25/F25*100</f>
        <v>0</v>
      </c>
      <c r="I25" s="123">
        <f t="shared" si="33"/>
        <v>208.8</v>
      </c>
      <c r="J25" s="123">
        <f t="shared" si="33"/>
        <v>0</v>
      </c>
      <c r="K25" s="123">
        <f t="shared" si="33"/>
        <v>0</v>
      </c>
      <c r="L25" s="123">
        <f t="shared" si="33"/>
        <v>384.9</v>
      </c>
      <c r="M25" s="123">
        <f t="shared" si="33"/>
        <v>0</v>
      </c>
      <c r="N25" s="123">
        <v>0</v>
      </c>
      <c r="O25" s="123">
        <f t="shared" si="33"/>
        <v>1039.2</v>
      </c>
      <c r="P25" s="123">
        <f t="shared" si="33"/>
        <v>0</v>
      </c>
      <c r="Q25" s="123">
        <v>0</v>
      </c>
      <c r="R25" s="123">
        <f t="shared" ref="R25:Z25" si="34">SUM(R26:R28)</f>
        <v>353</v>
      </c>
      <c r="S25" s="123">
        <f t="shared" si="34"/>
        <v>0</v>
      </c>
      <c r="T25" s="123">
        <v>0</v>
      </c>
      <c r="U25" s="123">
        <f t="shared" si="34"/>
        <v>378</v>
      </c>
      <c r="V25" s="123">
        <f t="shared" si="34"/>
        <v>0</v>
      </c>
      <c r="W25" s="123">
        <f t="shared" si="34"/>
        <v>0</v>
      </c>
      <c r="X25" s="123">
        <f t="shared" si="34"/>
        <v>416.5</v>
      </c>
      <c r="Y25" s="123">
        <f t="shared" si="34"/>
        <v>0</v>
      </c>
      <c r="Z25" s="123">
        <f t="shared" si="34"/>
        <v>0</v>
      </c>
      <c r="AA25" s="104">
        <f t="shared" ref="AA25:AB25" si="35">SUM(AA26:AA28)</f>
        <v>482.40000000000003</v>
      </c>
      <c r="AB25" s="123">
        <f t="shared" si="35"/>
        <v>0</v>
      </c>
      <c r="AC25" s="123">
        <f>SUM(AC26:AC28)</f>
        <v>0</v>
      </c>
      <c r="AD25" s="104">
        <f t="shared" ref="AD25:AR25" si="36">SUM(AD26:AD28)</f>
        <v>451.1</v>
      </c>
      <c r="AE25" s="104">
        <f t="shared" si="36"/>
        <v>0</v>
      </c>
      <c r="AF25" s="104">
        <f t="shared" si="6"/>
        <v>0</v>
      </c>
      <c r="AG25" s="104">
        <f t="shared" si="36"/>
        <v>471.79999999999995</v>
      </c>
      <c r="AH25" s="123">
        <f t="shared" si="36"/>
        <v>0</v>
      </c>
      <c r="AI25" s="104">
        <f t="shared" ref="AI25" si="37">AH25/AG25*100</f>
        <v>0</v>
      </c>
      <c r="AJ25" s="123">
        <f t="shared" si="36"/>
        <v>517.1</v>
      </c>
      <c r="AK25" s="123">
        <f t="shared" si="36"/>
        <v>0</v>
      </c>
      <c r="AL25" s="123">
        <f t="shared" si="36"/>
        <v>0</v>
      </c>
      <c r="AM25" s="104">
        <f t="shared" si="36"/>
        <v>227.5</v>
      </c>
      <c r="AN25" s="123">
        <f t="shared" si="36"/>
        <v>0</v>
      </c>
      <c r="AO25" s="123">
        <f t="shared" si="36"/>
        <v>0</v>
      </c>
      <c r="AP25" s="104">
        <f t="shared" si="36"/>
        <v>285.3</v>
      </c>
      <c r="AQ25" s="123">
        <f t="shared" si="36"/>
        <v>0</v>
      </c>
      <c r="AR25" s="123">
        <f t="shared" si="36"/>
        <v>0</v>
      </c>
      <c r="AS25" s="324" t="s">
        <v>318</v>
      </c>
      <c r="AT25" s="335"/>
      <c r="AU25" s="121">
        <f t="shared" si="15"/>
        <v>4185.7</v>
      </c>
      <c r="AV25" s="121">
        <f t="shared" si="16"/>
        <v>0</v>
      </c>
      <c r="AW25" s="155">
        <f t="shared" si="17"/>
        <v>0</v>
      </c>
    </row>
    <row r="26" spans="1:49" s="31" customFormat="1" ht="36">
      <c r="A26" s="316"/>
      <c r="B26" s="319"/>
      <c r="C26" s="322"/>
      <c r="D26" s="328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0</v>
      </c>
      <c r="H26" s="123">
        <f>G26/F26*100</f>
        <v>0</v>
      </c>
      <c r="I26" s="104">
        <v>0</v>
      </c>
      <c r="J26" s="104">
        <v>0</v>
      </c>
      <c r="K26" s="104">
        <v>0</v>
      </c>
      <c r="L26" s="126">
        <v>124.5</v>
      </c>
      <c r="M26" s="104">
        <v>0</v>
      </c>
      <c r="N26" s="123">
        <v>0</v>
      </c>
      <c r="O26" s="104">
        <f>124.5+697.2</f>
        <v>821.7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25"/>
      <c r="AT26" s="336"/>
      <c r="AU26" s="121">
        <f t="shared" si="15"/>
        <v>1948.3000000000002</v>
      </c>
      <c r="AV26" s="121">
        <f t="shared" si="16"/>
        <v>0</v>
      </c>
      <c r="AW26" s="155">
        <f t="shared" si="17"/>
        <v>0</v>
      </c>
    </row>
    <row r="27" spans="1:49" s="31" customFormat="1" ht="12.75">
      <c r="A27" s="316"/>
      <c r="B27" s="319"/>
      <c r="C27" s="322"/>
      <c r="D27" s="328"/>
      <c r="E27" s="108" t="s">
        <v>44</v>
      </c>
      <c r="F27" s="123">
        <f t="shared" ref="F27:F28" si="38">I27+L27+O27+R27+U27+X27+AA27+AD27+AG27+AJ27+AM27+AP27</f>
        <v>2668.2000000000003</v>
      </c>
      <c r="G27" s="123">
        <f t="shared" ref="G27:G28" si="39">J27+M27+P27+S27+V27+Y27+AB27+AE27+AH27+AK27+AN27+AQ27</f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25"/>
      <c r="AT27" s="336"/>
      <c r="AU27" s="121"/>
      <c r="AV27" s="121"/>
      <c r="AW27" s="155"/>
    </row>
    <row r="28" spans="1:49" s="31" customFormat="1" ht="27" customHeight="1">
      <c r="A28" s="317"/>
      <c r="B28" s="320"/>
      <c r="C28" s="323"/>
      <c r="D28" s="334"/>
      <c r="E28" s="109" t="s">
        <v>257</v>
      </c>
      <c r="F28" s="123">
        <f t="shared" si="38"/>
        <v>0</v>
      </c>
      <c r="G28" s="123">
        <f t="shared" si="39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26"/>
      <c r="AT28" s="337"/>
      <c r="AU28" s="121"/>
      <c r="AV28" s="121"/>
      <c r="AW28" s="155"/>
    </row>
    <row r="29" spans="1:49" s="31" customFormat="1" ht="21" customHeight="1">
      <c r="A29" s="315" t="s">
        <v>341</v>
      </c>
      <c r="B29" s="318" t="s">
        <v>342</v>
      </c>
      <c r="C29" s="321" t="s">
        <v>268</v>
      </c>
      <c r="D29" s="327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40">SUM(U30:U31)</f>
        <v>0</v>
      </c>
      <c r="V29" s="123">
        <f t="shared" si="40"/>
        <v>0</v>
      </c>
      <c r="W29" s="123">
        <f t="shared" si="40"/>
        <v>0</v>
      </c>
      <c r="X29" s="123">
        <f t="shared" si="40"/>
        <v>0</v>
      </c>
      <c r="Y29" s="123">
        <f t="shared" si="40"/>
        <v>0</v>
      </c>
      <c r="Z29" s="123">
        <f t="shared" si="40"/>
        <v>0</v>
      </c>
      <c r="AA29" s="104">
        <f t="shared" si="40"/>
        <v>0</v>
      </c>
      <c r="AB29" s="123">
        <f t="shared" si="40"/>
        <v>0</v>
      </c>
      <c r="AC29" s="123">
        <f t="shared" si="40"/>
        <v>0</v>
      </c>
      <c r="AD29" s="104">
        <f t="shared" si="40"/>
        <v>0</v>
      </c>
      <c r="AE29" s="104">
        <f t="shared" si="40"/>
        <v>0</v>
      </c>
      <c r="AF29" s="104">
        <f t="shared" si="40"/>
        <v>0</v>
      </c>
      <c r="AG29" s="104">
        <f t="shared" si="40"/>
        <v>0</v>
      </c>
      <c r="AH29" s="123">
        <f t="shared" si="40"/>
        <v>0</v>
      </c>
      <c r="AI29" s="117">
        <v>0</v>
      </c>
      <c r="AJ29" s="123">
        <f t="shared" ref="AJ29:AR29" si="41">SUM(AJ30:AJ31)</f>
        <v>0</v>
      </c>
      <c r="AK29" s="123">
        <f t="shared" si="41"/>
        <v>0</v>
      </c>
      <c r="AL29" s="123">
        <f t="shared" si="41"/>
        <v>0</v>
      </c>
      <c r="AM29" s="104">
        <f t="shared" si="41"/>
        <v>0</v>
      </c>
      <c r="AN29" s="123">
        <f t="shared" si="41"/>
        <v>0</v>
      </c>
      <c r="AO29" s="123">
        <f t="shared" si="41"/>
        <v>0</v>
      </c>
      <c r="AP29" s="104">
        <f t="shared" si="41"/>
        <v>0</v>
      </c>
      <c r="AQ29" s="123">
        <f t="shared" si="41"/>
        <v>0</v>
      </c>
      <c r="AR29" s="123">
        <f t="shared" si="41"/>
        <v>0</v>
      </c>
      <c r="AS29" s="324" t="s">
        <v>298</v>
      </c>
      <c r="AT29" s="335"/>
      <c r="AU29" s="121">
        <f t="shared" si="15"/>
        <v>150</v>
      </c>
      <c r="AV29" s="121">
        <f t="shared" si="16"/>
        <v>0</v>
      </c>
      <c r="AW29" s="155">
        <f t="shared" si="17"/>
        <v>0</v>
      </c>
    </row>
    <row r="30" spans="1:49" s="31" customFormat="1" ht="44.25" customHeight="1">
      <c r="A30" s="316"/>
      <c r="B30" s="319"/>
      <c r="C30" s="322"/>
      <c r="D30" s="328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25"/>
      <c r="AT30" s="336"/>
      <c r="AU30" s="121"/>
      <c r="AV30" s="121"/>
      <c r="AW30" s="155"/>
    </row>
    <row r="31" spans="1:49" s="31" customFormat="1" ht="33" customHeight="1">
      <c r="A31" s="316"/>
      <c r="B31" s="319"/>
      <c r="C31" s="322"/>
      <c r="D31" s="328"/>
      <c r="E31" s="108" t="s">
        <v>44</v>
      </c>
      <c r="F31" s="123">
        <f t="shared" ref="F31" si="42">I31+L31+O31+R31+U31+X31+AA31+AD31+AG31+AJ31+AM31+AP31</f>
        <v>150</v>
      </c>
      <c r="G31" s="123">
        <f t="shared" ref="G31" si="43">J31+M31+P31+S31+V31+Y31+AB31+AE31+AH31+AK31+AN31+AQ31</f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25"/>
      <c r="AT31" s="336"/>
      <c r="AU31" s="121"/>
      <c r="AV31" s="121"/>
      <c r="AW31" s="155"/>
    </row>
    <row r="32" spans="1:49" s="31" customFormat="1" ht="24.75" customHeight="1">
      <c r="A32" s="297" t="s">
        <v>344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9"/>
    </row>
    <row r="33" spans="1:49" s="100" customFormat="1" ht="20.25" customHeight="1">
      <c r="A33" s="338" t="s">
        <v>345</v>
      </c>
      <c r="B33" s="339"/>
      <c r="C33" s="339"/>
      <c r="D33" s="340"/>
      <c r="E33" s="129" t="s">
        <v>42</v>
      </c>
      <c r="F33" s="106">
        <f>F34+F35+F36</f>
        <v>33940.800000000003</v>
      </c>
      <c r="G33" s="106">
        <f t="shared" ref="G33:AR33" si="44">G34+G35+G36</f>
        <v>0</v>
      </c>
      <c r="H33" s="106">
        <f>G33/F33*100</f>
        <v>0</v>
      </c>
      <c r="I33" s="106">
        <f t="shared" si="44"/>
        <v>556</v>
      </c>
      <c r="J33" s="106">
        <f t="shared" si="44"/>
        <v>0</v>
      </c>
      <c r="K33" s="106">
        <f>J33/I33*100</f>
        <v>0</v>
      </c>
      <c r="L33" s="106">
        <f t="shared" si="44"/>
        <v>2428</v>
      </c>
      <c r="M33" s="106">
        <f t="shared" si="44"/>
        <v>0</v>
      </c>
      <c r="N33" s="106">
        <f>M33/L33*100</f>
        <v>0</v>
      </c>
      <c r="O33" s="106">
        <f t="shared" si="44"/>
        <v>2242</v>
      </c>
      <c r="P33" s="106">
        <f t="shared" si="44"/>
        <v>0</v>
      </c>
      <c r="Q33" s="106">
        <f>P33/O33*100</f>
        <v>0</v>
      </c>
      <c r="R33" s="106">
        <f t="shared" si="44"/>
        <v>3060</v>
      </c>
      <c r="S33" s="106">
        <f t="shared" si="44"/>
        <v>0</v>
      </c>
      <c r="T33" s="106">
        <f>S33/R33*100</f>
        <v>0</v>
      </c>
      <c r="U33" s="106">
        <f t="shared" si="44"/>
        <v>2489</v>
      </c>
      <c r="V33" s="106">
        <f t="shared" si="44"/>
        <v>0</v>
      </c>
      <c r="W33" s="106">
        <f t="shared" si="44"/>
        <v>0</v>
      </c>
      <c r="X33" s="106">
        <f t="shared" si="44"/>
        <v>2628</v>
      </c>
      <c r="Y33" s="106">
        <f t="shared" si="44"/>
        <v>0</v>
      </c>
      <c r="Z33" s="106">
        <f t="shared" si="44"/>
        <v>0</v>
      </c>
      <c r="AA33" s="106">
        <f t="shared" si="44"/>
        <v>3576</v>
      </c>
      <c r="AB33" s="106">
        <f t="shared" si="44"/>
        <v>0</v>
      </c>
      <c r="AC33" s="106">
        <f t="shared" si="44"/>
        <v>0</v>
      </c>
      <c r="AD33" s="106">
        <f t="shared" si="44"/>
        <v>2569</v>
      </c>
      <c r="AE33" s="106">
        <f t="shared" si="44"/>
        <v>0</v>
      </c>
      <c r="AF33" s="106">
        <f t="shared" ref="AF33:AF35" si="45">AE33/AD33*100</f>
        <v>0</v>
      </c>
      <c r="AG33" s="106">
        <f t="shared" si="44"/>
        <v>2544</v>
      </c>
      <c r="AH33" s="106">
        <f t="shared" si="44"/>
        <v>0</v>
      </c>
      <c r="AI33" s="106">
        <f t="shared" si="44"/>
        <v>0</v>
      </c>
      <c r="AJ33" s="106">
        <f t="shared" si="44"/>
        <v>2984</v>
      </c>
      <c r="AK33" s="106">
        <f t="shared" si="44"/>
        <v>0</v>
      </c>
      <c r="AL33" s="106">
        <f t="shared" si="44"/>
        <v>0</v>
      </c>
      <c r="AM33" s="106">
        <f t="shared" si="44"/>
        <v>2265.6</v>
      </c>
      <c r="AN33" s="106">
        <f t="shared" si="44"/>
        <v>0</v>
      </c>
      <c r="AO33" s="106">
        <f t="shared" si="44"/>
        <v>0</v>
      </c>
      <c r="AP33" s="106">
        <f t="shared" si="44"/>
        <v>6599.2</v>
      </c>
      <c r="AQ33" s="106">
        <f t="shared" si="44"/>
        <v>0</v>
      </c>
      <c r="AR33" s="106">
        <f t="shared" si="44"/>
        <v>0</v>
      </c>
      <c r="AS33" s="347"/>
      <c r="AT33" s="350"/>
      <c r="AU33" s="121">
        <f t="shared" ref="AU33:AU79" si="46">I33+L33+O33+R33+U33+X33+AA33+AD33+AG33</f>
        <v>22092</v>
      </c>
      <c r="AV33" s="121">
        <f t="shared" ref="AV33:AV79" si="47">J33+M33+P33+S33+V33+Y33+AB33+AE33+AH33</f>
        <v>0</v>
      </c>
      <c r="AW33" s="155">
        <f t="shared" ref="AW33:AW79" si="48">AV33/AU33*100</f>
        <v>0</v>
      </c>
    </row>
    <row r="34" spans="1:49" s="100" customFormat="1" ht="36">
      <c r="A34" s="341"/>
      <c r="B34" s="342"/>
      <c r="C34" s="342"/>
      <c r="D34" s="343"/>
      <c r="E34" s="111" t="s">
        <v>3</v>
      </c>
      <c r="F34" s="106">
        <f>F43</f>
        <v>30600.9</v>
      </c>
      <c r="G34" s="106">
        <f t="shared" ref="G34:AR36" si="49">G43</f>
        <v>0</v>
      </c>
      <c r="H34" s="106">
        <f>G34/F34*100</f>
        <v>0</v>
      </c>
      <c r="I34" s="106">
        <f t="shared" si="49"/>
        <v>0</v>
      </c>
      <c r="J34" s="106">
        <f t="shared" si="49"/>
        <v>0</v>
      </c>
      <c r="K34" s="106" t="e">
        <f t="shared" ref="K34:K35" si="50">J34/I34*100</f>
        <v>#DIV/0!</v>
      </c>
      <c r="L34" s="106">
        <f t="shared" si="49"/>
        <v>2178</v>
      </c>
      <c r="M34" s="106">
        <f t="shared" si="49"/>
        <v>0</v>
      </c>
      <c r="N34" s="106">
        <f t="shared" ref="N34:N35" si="51">M34/L34*100</f>
        <v>0</v>
      </c>
      <c r="O34" s="106">
        <f t="shared" si="49"/>
        <v>1989</v>
      </c>
      <c r="P34" s="106">
        <f t="shared" si="49"/>
        <v>0</v>
      </c>
      <c r="Q34" s="106">
        <f t="shared" ref="Q34:Q35" si="52">P34/O34*100</f>
        <v>0</v>
      </c>
      <c r="R34" s="106">
        <f t="shared" si="49"/>
        <v>3010</v>
      </c>
      <c r="S34" s="106">
        <f t="shared" si="49"/>
        <v>0</v>
      </c>
      <c r="T34" s="106">
        <f t="shared" ref="T34:T35" si="53">S34/R34*100</f>
        <v>0</v>
      </c>
      <c r="U34" s="106">
        <f t="shared" si="49"/>
        <v>2037</v>
      </c>
      <c r="V34" s="106">
        <f t="shared" si="49"/>
        <v>0</v>
      </c>
      <c r="W34" s="106">
        <f t="shared" si="49"/>
        <v>0</v>
      </c>
      <c r="X34" s="106">
        <f t="shared" si="49"/>
        <v>2578</v>
      </c>
      <c r="Y34" s="106">
        <f t="shared" si="49"/>
        <v>0</v>
      </c>
      <c r="Z34" s="106">
        <f t="shared" si="49"/>
        <v>0</v>
      </c>
      <c r="AA34" s="106">
        <f t="shared" si="49"/>
        <v>3526</v>
      </c>
      <c r="AB34" s="106">
        <f t="shared" si="49"/>
        <v>0</v>
      </c>
      <c r="AC34" s="106">
        <f t="shared" si="49"/>
        <v>0</v>
      </c>
      <c r="AD34" s="106">
        <f t="shared" si="49"/>
        <v>2117</v>
      </c>
      <c r="AE34" s="106">
        <f t="shared" si="49"/>
        <v>0</v>
      </c>
      <c r="AF34" s="106">
        <f t="shared" si="45"/>
        <v>0</v>
      </c>
      <c r="AG34" s="106">
        <f t="shared" si="49"/>
        <v>2494</v>
      </c>
      <c r="AH34" s="106">
        <f t="shared" si="49"/>
        <v>0</v>
      </c>
      <c r="AI34" s="106">
        <f t="shared" si="49"/>
        <v>0</v>
      </c>
      <c r="AJ34" s="106">
        <f t="shared" si="49"/>
        <v>2934</v>
      </c>
      <c r="AK34" s="106">
        <f t="shared" si="49"/>
        <v>0</v>
      </c>
      <c r="AL34" s="106">
        <f t="shared" si="49"/>
        <v>0</v>
      </c>
      <c r="AM34" s="106">
        <f t="shared" si="49"/>
        <v>1812</v>
      </c>
      <c r="AN34" s="106">
        <f t="shared" si="49"/>
        <v>0</v>
      </c>
      <c r="AO34" s="106">
        <f t="shared" si="49"/>
        <v>0</v>
      </c>
      <c r="AP34" s="106">
        <f t="shared" si="49"/>
        <v>5925.9</v>
      </c>
      <c r="AQ34" s="106">
        <f t="shared" si="49"/>
        <v>0</v>
      </c>
      <c r="AR34" s="106">
        <f t="shared" si="49"/>
        <v>0</v>
      </c>
      <c r="AS34" s="348"/>
      <c r="AT34" s="351"/>
      <c r="AU34" s="121">
        <f t="shared" si="46"/>
        <v>19929</v>
      </c>
      <c r="AV34" s="121">
        <f t="shared" si="47"/>
        <v>0</v>
      </c>
      <c r="AW34" s="155">
        <f t="shared" si="48"/>
        <v>0</v>
      </c>
    </row>
    <row r="35" spans="1:49" s="100" customFormat="1" ht="24">
      <c r="A35" s="341"/>
      <c r="B35" s="342"/>
      <c r="C35" s="342"/>
      <c r="D35" s="343"/>
      <c r="E35" s="111" t="s">
        <v>44</v>
      </c>
      <c r="F35" s="106">
        <f>F44</f>
        <v>3339.8999999999996</v>
      </c>
      <c r="G35" s="106">
        <f t="shared" si="49"/>
        <v>0</v>
      </c>
      <c r="H35" s="106">
        <f>G35/F35*100</f>
        <v>0</v>
      </c>
      <c r="I35" s="106">
        <f t="shared" si="49"/>
        <v>556</v>
      </c>
      <c r="J35" s="106">
        <f t="shared" si="49"/>
        <v>0</v>
      </c>
      <c r="K35" s="106">
        <f t="shared" si="50"/>
        <v>0</v>
      </c>
      <c r="L35" s="106">
        <f t="shared" si="49"/>
        <v>250</v>
      </c>
      <c r="M35" s="106">
        <f t="shared" si="49"/>
        <v>0</v>
      </c>
      <c r="N35" s="106">
        <f t="shared" si="51"/>
        <v>0</v>
      </c>
      <c r="O35" s="106">
        <f t="shared" si="49"/>
        <v>253</v>
      </c>
      <c r="P35" s="106">
        <f t="shared" si="49"/>
        <v>0</v>
      </c>
      <c r="Q35" s="106">
        <f t="shared" si="52"/>
        <v>0</v>
      </c>
      <c r="R35" s="106">
        <f t="shared" si="49"/>
        <v>50</v>
      </c>
      <c r="S35" s="106">
        <f t="shared" si="49"/>
        <v>0</v>
      </c>
      <c r="T35" s="106">
        <f t="shared" si="53"/>
        <v>0</v>
      </c>
      <c r="U35" s="106">
        <f t="shared" si="49"/>
        <v>452</v>
      </c>
      <c r="V35" s="106">
        <f t="shared" si="49"/>
        <v>0</v>
      </c>
      <c r="W35" s="106">
        <f t="shared" si="49"/>
        <v>0</v>
      </c>
      <c r="X35" s="106">
        <f t="shared" si="49"/>
        <v>50</v>
      </c>
      <c r="Y35" s="106">
        <f t="shared" si="49"/>
        <v>0</v>
      </c>
      <c r="Z35" s="106">
        <f t="shared" si="49"/>
        <v>0</v>
      </c>
      <c r="AA35" s="106">
        <f t="shared" si="49"/>
        <v>50</v>
      </c>
      <c r="AB35" s="106">
        <f t="shared" si="49"/>
        <v>0</v>
      </c>
      <c r="AC35" s="106">
        <f t="shared" si="49"/>
        <v>0</v>
      </c>
      <c r="AD35" s="106">
        <f t="shared" si="49"/>
        <v>452</v>
      </c>
      <c r="AE35" s="106">
        <f t="shared" si="49"/>
        <v>0</v>
      </c>
      <c r="AF35" s="106">
        <f t="shared" si="45"/>
        <v>0</v>
      </c>
      <c r="AG35" s="106">
        <f t="shared" si="49"/>
        <v>50</v>
      </c>
      <c r="AH35" s="106">
        <f t="shared" si="49"/>
        <v>0</v>
      </c>
      <c r="AI35" s="106">
        <f t="shared" si="49"/>
        <v>0</v>
      </c>
      <c r="AJ35" s="106">
        <f t="shared" si="49"/>
        <v>50</v>
      </c>
      <c r="AK35" s="106">
        <f t="shared" si="49"/>
        <v>0</v>
      </c>
      <c r="AL35" s="106">
        <f t="shared" si="49"/>
        <v>0</v>
      </c>
      <c r="AM35" s="106">
        <f t="shared" si="49"/>
        <v>453.6</v>
      </c>
      <c r="AN35" s="106">
        <f t="shared" si="49"/>
        <v>0</v>
      </c>
      <c r="AO35" s="106">
        <f t="shared" si="49"/>
        <v>0</v>
      </c>
      <c r="AP35" s="106">
        <f t="shared" si="49"/>
        <v>673.3</v>
      </c>
      <c r="AQ35" s="106">
        <f t="shared" si="49"/>
        <v>0</v>
      </c>
      <c r="AR35" s="106">
        <f t="shared" si="49"/>
        <v>0</v>
      </c>
      <c r="AS35" s="348"/>
      <c r="AT35" s="351"/>
      <c r="AU35" s="121">
        <f t="shared" si="46"/>
        <v>2163</v>
      </c>
      <c r="AV35" s="121">
        <f t="shared" si="47"/>
        <v>0</v>
      </c>
      <c r="AW35" s="155">
        <f t="shared" si="48"/>
        <v>0</v>
      </c>
    </row>
    <row r="36" spans="1:49" s="100" customFormat="1" ht="24">
      <c r="A36" s="344"/>
      <c r="B36" s="345"/>
      <c r="C36" s="345"/>
      <c r="D36" s="346"/>
      <c r="E36" s="110" t="s">
        <v>257</v>
      </c>
      <c r="F36" s="106">
        <f>F45</f>
        <v>0</v>
      </c>
      <c r="G36" s="106">
        <f t="shared" si="49"/>
        <v>0</v>
      </c>
      <c r="H36" s="106">
        <v>0</v>
      </c>
      <c r="I36" s="106">
        <f t="shared" si="49"/>
        <v>0</v>
      </c>
      <c r="J36" s="106">
        <f t="shared" si="49"/>
        <v>0</v>
      </c>
      <c r="K36" s="106">
        <v>0</v>
      </c>
      <c r="L36" s="106">
        <f t="shared" si="49"/>
        <v>0</v>
      </c>
      <c r="M36" s="106">
        <f t="shared" si="49"/>
        <v>0</v>
      </c>
      <c r="N36" s="106">
        <v>0</v>
      </c>
      <c r="O36" s="106">
        <f t="shared" si="49"/>
        <v>0</v>
      </c>
      <c r="P36" s="106">
        <f t="shared" si="49"/>
        <v>0</v>
      </c>
      <c r="Q36" s="106">
        <f t="shared" si="49"/>
        <v>0</v>
      </c>
      <c r="R36" s="106">
        <f t="shared" si="49"/>
        <v>0</v>
      </c>
      <c r="S36" s="106">
        <f t="shared" si="49"/>
        <v>0</v>
      </c>
      <c r="T36" s="106">
        <v>0</v>
      </c>
      <c r="U36" s="106">
        <f t="shared" si="49"/>
        <v>0</v>
      </c>
      <c r="V36" s="106">
        <f t="shared" si="49"/>
        <v>0</v>
      </c>
      <c r="W36" s="106">
        <f t="shared" si="49"/>
        <v>0</v>
      </c>
      <c r="X36" s="106">
        <f t="shared" si="49"/>
        <v>0</v>
      </c>
      <c r="Y36" s="106">
        <f t="shared" si="49"/>
        <v>0</v>
      </c>
      <c r="Z36" s="106">
        <f t="shared" si="49"/>
        <v>0</v>
      </c>
      <c r="AA36" s="106">
        <f t="shared" si="49"/>
        <v>0</v>
      </c>
      <c r="AB36" s="106">
        <f t="shared" si="49"/>
        <v>0</v>
      </c>
      <c r="AC36" s="106">
        <f t="shared" si="49"/>
        <v>0</v>
      </c>
      <c r="AD36" s="106">
        <f t="shared" si="49"/>
        <v>0</v>
      </c>
      <c r="AE36" s="106">
        <f t="shared" si="49"/>
        <v>0</v>
      </c>
      <c r="AF36" s="106">
        <f t="shared" si="49"/>
        <v>0</v>
      </c>
      <c r="AG36" s="106">
        <f t="shared" si="49"/>
        <v>0</v>
      </c>
      <c r="AH36" s="106">
        <f t="shared" si="49"/>
        <v>0</v>
      </c>
      <c r="AI36" s="106">
        <f t="shared" si="49"/>
        <v>0</v>
      </c>
      <c r="AJ36" s="106">
        <f t="shared" si="49"/>
        <v>0</v>
      </c>
      <c r="AK36" s="106">
        <f t="shared" si="49"/>
        <v>0</v>
      </c>
      <c r="AL36" s="106">
        <f t="shared" si="49"/>
        <v>0</v>
      </c>
      <c r="AM36" s="106">
        <f t="shared" si="49"/>
        <v>0</v>
      </c>
      <c r="AN36" s="106">
        <f t="shared" si="49"/>
        <v>0</v>
      </c>
      <c r="AO36" s="106">
        <f t="shared" si="49"/>
        <v>0</v>
      </c>
      <c r="AP36" s="106">
        <f t="shared" si="49"/>
        <v>0</v>
      </c>
      <c r="AQ36" s="106">
        <f t="shared" si="49"/>
        <v>0</v>
      </c>
      <c r="AR36" s="106">
        <f t="shared" si="49"/>
        <v>0</v>
      </c>
      <c r="AS36" s="349"/>
      <c r="AT36" s="352"/>
      <c r="AU36" s="121"/>
      <c r="AV36" s="121"/>
      <c r="AW36" s="155"/>
    </row>
    <row r="37" spans="1:49" s="100" customFormat="1" ht="112.5" customHeight="1">
      <c r="A37" s="159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68" t="s">
        <v>351</v>
      </c>
      <c r="B38" s="166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59" t="s">
        <v>355</v>
      </c>
      <c r="B39" s="166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59" t="s">
        <v>359</v>
      </c>
      <c r="B40" s="166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59" t="s">
        <v>361</v>
      </c>
      <c r="B41" s="166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53" t="s">
        <v>365</v>
      </c>
      <c r="B42" s="356" t="s">
        <v>366</v>
      </c>
      <c r="C42" s="359" t="s">
        <v>269</v>
      </c>
      <c r="D42" s="327" t="s">
        <v>367</v>
      </c>
      <c r="E42" s="107" t="s">
        <v>42</v>
      </c>
      <c r="F42" s="123">
        <f>SUM(F43:F45)</f>
        <v>33940.800000000003</v>
      </c>
      <c r="G42" s="123">
        <f t="shared" ref="G42" si="54">SUM(G43:G45)</f>
        <v>0</v>
      </c>
      <c r="H42" s="123">
        <f>G42/F42*100</f>
        <v>0</v>
      </c>
      <c r="I42" s="132">
        <f>I43+I44+I45</f>
        <v>556</v>
      </c>
      <c r="J42" s="132">
        <f>J43+J44+J45</f>
        <v>0</v>
      </c>
      <c r="K42" s="123">
        <f t="shared" ref="K42:K44" si="55">J42/I42*100</f>
        <v>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56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57">U43+U44+U45</f>
        <v>2489</v>
      </c>
      <c r="V42" s="132">
        <f t="shared" si="57"/>
        <v>0</v>
      </c>
      <c r="W42" s="132">
        <f>V42/U42*100</f>
        <v>0</v>
      </c>
      <c r="X42" s="132">
        <f t="shared" si="57"/>
        <v>2628</v>
      </c>
      <c r="Y42" s="132">
        <f t="shared" si="57"/>
        <v>0</v>
      </c>
      <c r="Z42" s="132">
        <f>Y42/X42*100</f>
        <v>0</v>
      </c>
      <c r="AA42" s="132">
        <f t="shared" si="57"/>
        <v>3576</v>
      </c>
      <c r="AB42" s="132">
        <f t="shared" si="57"/>
        <v>0</v>
      </c>
      <c r="AC42" s="132">
        <f>AB42/AA42*100</f>
        <v>0</v>
      </c>
      <c r="AD42" s="132">
        <f t="shared" si="57"/>
        <v>2569</v>
      </c>
      <c r="AE42" s="132">
        <f t="shared" si="57"/>
        <v>0</v>
      </c>
      <c r="AF42" s="132">
        <f>AE42/AD42*100</f>
        <v>0</v>
      </c>
      <c r="AG42" s="132">
        <f t="shared" si="57"/>
        <v>2544</v>
      </c>
      <c r="AH42" s="132">
        <f t="shared" si="57"/>
        <v>0</v>
      </c>
      <c r="AI42" s="117">
        <f>AH42/AG42*100</f>
        <v>0</v>
      </c>
      <c r="AJ42" s="132">
        <f t="shared" si="57"/>
        <v>2984</v>
      </c>
      <c r="AK42" s="132">
        <f t="shared" si="57"/>
        <v>0</v>
      </c>
      <c r="AL42" s="132">
        <f t="shared" si="57"/>
        <v>0</v>
      </c>
      <c r="AM42" s="132">
        <f t="shared" si="57"/>
        <v>2265.6</v>
      </c>
      <c r="AN42" s="132">
        <f t="shared" si="57"/>
        <v>0</v>
      </c>
      <c r="AO42" s="132">
        <f t="shared" si="57"/>
        <v>0</v>
      </c>
      <c r="AP42" s="132">
        <f t="shared" si="57"/>
        <v>6599.2</v>
      </c>
      <c r="AQ42" s="104"/>
      <c r="AR42" s="104"/>
      <c r="AS42" s="324" t="s">
        <v>310</v>
      </c>
      <c r="AT42" s="362"/>
      <c r="AU42" s="121">
        <f t="shared" si="46"/>
        <v>22092</v>
      </c>
      <c r="AV42" s="121">
        <f t="shared" si="47"/>
        <v>0</v>
      </c>
      <c r="AW42" s="155">
        <f t="shared" si="48"/>
        <v>0</v>
      </c>
    </row>
    <row r="43" spans="1:49" s="31" customFormat="1" ht="36">
      <c r="A43" s="354"/>
      <c r="B43" s="357"/>
      <c r="C43" s="360"/>
      <c r="D43" s="328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55"/>
        <v>#DIV/0!</v>
      </c>
      <c r="L43" s="150">
        <v>2178</v>
      </c>
      <c r="M43" s="123">
        <v>0</v>
      </c>
      <c r="N43" s="138">
        <f t="shared" ref="N43:N44" si="58">M43/L43*100</f>
        <v>0</v>
      </c>
      <c r="O43" s="123">
        <v>1989</v>
      </c>
      <c r="P43" s="123">
        <v>0</v>
      </c>
      <c r="Q43" s="123">
        <f t="shared" si="56"/>
        <v>0</v>
      </c>
      <c r="R43" s="123">
        <v>3010</v>
      </c>
      <c r="S43" s="123">
        <v>0</v>
      </c>
      <c r="T43" s="132">
        <f t="shared" ref="T43:T44" si="59">S43/R43*100</f>
        <v>0</v>
      </c>
      <c r="U43" s="117">
        <v>2037</v>
      </c>
      <c r="V43" s="117">
        <v>0</v>
      </c>
      <c r="W43" s="132">
        <f t="shared" ref="W43:W44" si="60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25"/>
      <c r="AT43" s="363"/>
      <c r="AU43" s="121">
        <f t="shared" si="46"/>
        <v>19929</v>
      </c>
      <c r="AV43" s="121">
        <f t="shared" si="47"/>
        <v>0</v>
      </c>
      <c r="AW43" s="155">
        <f t="shared" si="48"/>
        <v>0</v>
      </c>
    </row>
    <row r="44" spans="1:49" s="31" customFormat="1" ht="12.75">
      <c r="A44" s="354"/>
      <c r="B44" s="357"/>
      <c r="C44" s="360"/>
      <c r="D44" s="328"/>
      <c r="E44" s="108" t="s">
        <v>44</v>
      </c>
      <c r="F44" s="123">
        <f t="shared" ref="F44:F45" si="61">I44+L44+O44+R44+U44+X44+AA44+AD44+AG44+AJ44+AM44+AP44</f>
        <v>3339.8999999999996</v>
      </c>
      <c r="G44" s="123">
        <f t="shared" ref="G44:G45" si="62">J44+M44+P44+S44+V44+Y44+AB44+AE44+AH44+AK44+AN44+AQ44</f>
        <v>0</v>
      </c>
      <c r="H44" s="123">
        <f>G44/F44*100</f>
        <v>0</v>
      </c>
      <c r="I44" s="123">
        <v>556</v>
      </c>
      <c r="J44" s="123">
        <v>0</v>
      </c>
      <c r="K44" s="123">
        <f t="shared" si="55"/>
        <v>0</v>
      </c>
      <c r="L44" s="150">
        <v>250</v>
      </c>
      <c r="M44" s="123">
        <v>0</v>
      </c>
      <c r="N44" s="138">
        <f t="shared" si="58"/>
        <v>0</v>
      </c>
      <c r="O44" s="123">
        <v>253</v>
      </c>
      <c r="P44" s="123">
        <v>0</v>
      </c>
      <c r="Q44" s="123">
        <f t="shared" si="56"/>
        <v>0</v>
      </c>
      <c r="R44" s="123">
        <v>50</v>
      </c>
      <c r="S44" s="123">
        <v>0</v>
      </c>
      <c r="T44" s="132">
        <f t="shared" si="59"/>
        <v>0</v>
      </c>
      <c r="U44" s="117">
        <v>452</v>
      </c>
      <c r="V44" s="117">
        <v>0</v>
      </c>
      <c r="W44" s="132">
        <f t="shared" si="60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25"/>
      <c r="AT44" s="363"/>
      <c r="AU44" s="121">
        <f t="shared" si="46"/>
        <v>2163</v>
      </c>
      <c r="AV44" s="121">
        <f t="shared" si="47"/>
        <v>0</v>
      </c>
      <c r="AW44" s="155">
        <f t="shared" si="48"/>
        <v>0</v>
      </c>
    </row>
    <row r="45" spans="1:49" s="31" customFormat="1" ht="25.5" customHeight="1">
      <c r="A45" s="355"/>
      <c r="B45" s="358"/>
      <c r="C45" s="361"/>
      <c r="D45" s="334"/>
      <c r="E45" s="109" t="s">
        <v>257</v>
      </c>
      <c r="F45" s="123">
        <f t="shared" si="61"/>
        <v>0</v>
      </c>
      <c r="G45" s="123">
        <f t="shared" si="62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26"/>
      <c r="AT45" s="364"/>
      <c r="AU45" s="121"/>
      <c r="AV45" s="121"/>
      <c r="AW45" s="155"/>
    </row>
    <row r="46" spans="1:49" s="31" customFormat="1" ht="15.75">
      <c r="A46" s="297" t="s">
        <v>368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9"/>
      <c r="AU46" s="121"/>
      <c r="AV46" s="121"/>
      <c r="AW46" s="155"/>
    </row>
    <row r="47" spans="1:49" s="31" customFormat="1" ht="15.75">
      <c r="A47" s="297" t="s">
        <v>369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9"/>
      <c r="AU47" s="121"/>
      <c r="AV47" s="121"/>
      <c r="AW47" s="155"/>
    </row>
    <row r="48" spans="1:49" s="100" customFormat="1" ht="12.75">
      <c r="A48" s="338" t="s">
        <v>270</v>
      </c>
      <c r="B48" s="339"/>
      <c r="C48" s="339"/>
      <c r="D48" s="340"/>
      <c r="E48" s="129" t="s">
        <v>42</v>
      </c>
      <c r="F48" s="106">
        <f>F49+F50+F51</f>
        <v>599.4</v>
      </c>
      <c r="G48" s="106">
        <f t="shared" ref="G48:AR48" si="63">G49+G50+G51</f>
        <v>0</v>
      </c>
      <c r="H48" s="106">
        <f>G48/F48*100</f>
        <v>0</v>
      </c>
      <c r="I48" s="106">
        <f t="shared" si="63"/>
        <v>0</v>
      </c>
      <c r="J48" s="106">
        <f t="shared" si="63"/>
        <v>0</v>
      </c>
      <c r="K48" s="106">
        <v>0</v>
      </c>
      <c r="L48" s="106">
        <f t="shared" si="63"/>
        <v>0</v>
      </c>
      <c r="M48" s="106">
        <f t="shared" si="63"/>
        <v>0</v>
      </c>
      <c r="N48" s="106">
        <v>0</v>
      </c>
      <c r="O48" s="106">
        <f t="shared" si="63"/>
        <v>119.8</v>
      </c>
      <c r="P48" s="106">
        <f t="shared" si="63"/>
        <v>0</v>
      </c>
      <c r="Q48" s="106">
        <f>P48/O48*100</f>
        <v>0</v>
      </c>
      <c r="R48" s="106">
        <f t="shared" si="63"/>
        <v>0</v>
      </c>
      <c r="S48" s="106">
        <f t="shared" si="63"/>
        <v>0</v>
      </c>
      <c r="T48" s="106">
        <v>0</v>
      </c>
      <c r="U48" s="106">
        <f t="shared" si="63"/>
        <v>0</v>
      </c>
      <c r="V48" s="106">
        <f t="shared" si="63"/>
        <v>0</v>
      </c>
      <c r="W48" s="106">
        <f t="shared" si="63"/>
        <v>0</v>
      </c>
      <c r="X48" s="106">
        <f t="shared" si="63"/>
        <v>179.7</v>
      </c>
      <c r="Y48" s="106">
        <f t="shared" si="63"/>
        <v>0</v>
      </c>
      <c r="Z48" s="106">
        <f t="shared" si="63"/>
        <v>0</v>
      </c>
      <c r="AA48" s="106">
        <f t="shared" si="63"/>
        <v>0</v>
      </c>
      <c r="AB48" s="106">
        <f t="shared" si="63"/>
        <v>0</v>
      </c>
      <c r="AC48" s="106">
        <f t="shared" si="63"/>
        <v>0</v>
      </c>
      <c r="AD48" s="106">
        <f t="shared" si="63"/>
        <v>0</v>
      </c>
      <c r="AE48" s="106">
        <f t="shared" si="63"/>
        <v>0</v>
      </c>
      <c r="AF48" s="106">
        <f t="shared" si="63"/>
        <v>0</v>
      </c>
      <c r="AG48" s="106">
        <f t="shared" si="63"/>
        <v>179.7</v>
      </c>
      <c r="AH48" s="106">
        <f t="shared" si="63"/>
        <v>0</v>
      </c>
      <c r="AI48" s="106">
        <f t="shared" si="63"/>
        <v>0</v>
      </c>
      <c r="AJ48" s="106">
        <f t="shared" si="63"/>
        <v>0</v>
      </c>
      <c r="AK48" s="106">
        <f t="shared" si="63"/>
        <v>0</v>
      </c>
      <c r="AL48" s="106">
        <f t="shared" si="63"/>
        <v>0</v>
      </c>
      <c r="AM48" s="106">
        <f t="shared" si="63"/>
        <v>120.2</v>
      </c>
      <c r="AN48" s="106">
        <f t="shared" si="63"/>
        <v>0</v>
      </c>
      <c r="AO48" s="106">
        <f t="shared" si="63"/>
        <v>0</v>
      </c>
      <c r="AP48" s="106">
        <f t="shared" si="63"/>
        <v>0</v>
      </c>
      <c r="AQ48" s="106">
        <f t="shared" si="63"/>
        <v>0</v>
      </c>
      <c r="AR48" s="106">
        <f t="shared" si="63"/>
        <v>0</v>
      </c>
      <c r="AS48" s="309"/>
      <c r="AT48" s="350"/>
      <c r="AU48" s="121">
        <f t="shared" si="46"/>
        <v>479.2</v>
      </c>
      <c r="AV48" s="121">
        <f t="shared" si="47"/>
        <v>0</v>
      </c>
      <c r="AW48" s="155">
        <f t="shared" si="48"/>
        <v>0</v>
      </c>
    </row>
    <row r="49" spans="1:49" s="100" customFormat="1" ht="36">
      <c r="A49" s="341"/>
      <c r="B49" s="342"/>
      <c r="C49" s="342"/>
      <c r="D49" s="343"/>
      <c r="E49" s="111" t="s">
        <v>3</v>
      </c>
      <c r="F49" s="106">
        <f>F57</f>
        <v>0</v>
      </c>
      <c r="G49" s="106">
        <f t="shared" ref="G49:AR51" si="64">G57</f>
        <v>0</v>
      </c>
      <c r="H49" s="106">
        <v>0</v>
      </c>
      <c r="I49" s="106">
        <f t="shared" si="64"/>
        <v>0</v>
      </c>
      <c r="J49" s="106">
        <f t="shared" si="64"/>
        <v>0</v>
      </c>
      <c r="K49" s="106">
        <v>0</v>
      </c>
      <c r="L49" s="106">
        <f t="shared" si="64"/>
        <v>0</v>
      </c>
      <c r="M49" s="106">
        <f t="shared" si="64"/>
        <v>0</v>
      </c>
      <c r="N49" s="106">
        <v>0</v>
      </c>
      <c r="O49" s="106">
        <f t="shared" si="64"/>
        <v>0</v>
      </c>
      <c r="P49" s="106">
        <f t="shared" si="64"/>
        <v>0</v>
      </c>
      <c r="Q49" s="106">
        <v>0</v>
      </c>
      <c r="R49" s="106">
        <f t="shared" si="64"/>
        <v>0</v>
      </c>
      <c r="S49" s="106">
        <f t="shared" si="64"/>
        <v>0</v>
      </c>
      <c r="T49" s="106">
        <f t="shared" si="64"/>
        <v>0</v>
      </c>
      <c r="U49" s="106">
        <f t="shared" si="64"/>
        <v>0</v>
      </c>
      <c r="V49" s="106">
        <f t="shared" si="64"/>
        <v>0</v>
      </c>
      <c r="W49" s="106">
        <f t="shared" si="64"/>
        <v>0</v>
      </c>
      <c r="X49" s="106">
        <f t="shared" si="64"/>
        <v>0</v>
      </c>
      <c r="Y49" s="106">
        <f t="shared" si="64"/>
        <v>0</v>
      </c>
      <c r="Z49" s="106">
        <f t="shared" si="64"/>
        <v>0</v>
      </c>
      <c r="AA49" s="106">
        <f t="shared" si="64"/>
        <v>0</v>
      </c>
      <c r="AB49" s="106">
        <f t="shared" si="64"/>
        <v>0</v>
      </c>
      <c r="AC49" s="106">
        <f t="shared" si="64"/>
        <v>0</v>
      </c>
      <c r="AD49" s="106">
        <f t="shared" si="64"/>
        <v>0</v>
      </c>
      <c r="AE49" s="106">
        <f t="shared" si="64"/>
        <v>0</v>
      </c>
      <c r="AF49" s="106">
        <f t="shared" si="64"/>
        <v>0</v>
      </c>
      <c r="AG49" s="106">
        <f t="shared" si="64"/>
        <v>0</v>
      </c>
      <c r="AH49" s="106">
        <f t="shared" si="64"/>
        <v>0</v>
      </c>
      <c r="AI49" s="106">
        <f t="shared" si="64"/>
        <v>0</v>
      </c>
      <c r="AJ49" s="106">
        <f t="shared" si="64"/>
        <v>0</v>
      </c>
      <c r="AK49" s="106">
        <f t="shared" si="64"/>
        <v>0</v>
      </c>
      <c r="AL49" s="106">
        <f t="shared" si="64"/>
        <v>0</v>
      </c>
      <c r="AM49" s="106">
        <f t="shared" si="64"/>
        <v>0</v>
      </c>
      <c r="AN49" s="106">
        <f t="shared" si="64"/>
        <v>0</v>
      </c>
      <c r="AO49" s="106">
        <f t="shared" si="64"/>
        <v>0</v>
      </c>
      <c r="AP49" s="106">
        <f t="shared" si="64"/>
        <v>0</v>
      </c>
      <c r="AQ49" s="106">
        <f t="shared" si="64"/>
        <v>0</v>
      </c>
      <c r="AR49" s="106">
        <f t="shared" si="64"/>
        <v>0</v>
      </c>
      <c r="AS49" s="310"/>
      <c r="AT49" s="351"/>
      <c r="AU49" s="121"/>
      <c r="AV49" s="121"/>
      <c r="AW49" s="155"/>
    </row>
    <row r="50" spans="1:49" s="100" customFormat="1" ht="24">
      <c r="A50" s="341"/>
      <c r="B50" s="342"/>
      <c r="C50" s="342"/>
      <c r="D50" s="343"/>
      <c r="E50" s="111" t="s">
        <v>44</v>
      </c>
      <c r="F50" s="106">
        <f>F58</f>
        <v>599.4</v>
      </c>
      <c r="G50" s="106">
        <f t="shared" si="64"/>
        <v>0</v>
      </c>
      <c r="H50" s="106">
        <f>G50/F50*100</f>
        <v>0</v>
      </c>
      <c r="I50" s="106">
        <f t="shared" si="64"/>
        <v>0</v>
      </c>
      <c r="J50" s="106">
        <f t="shared" si="64"/>
        <v>0</v>
      </c>
      <c r="K50" s="106">
        <v>0</v>
      </c>
      <c r="L50" s="106">
        <f t="shared" si="64"/>
        <v>0</v>
      </c>
      <c r="M50" s="106">
        <f t="shared" si="64"/>
        <v>0</v>
      </c>
      <c r="N50" s="106">
        <v>0</v>
      </c>
      <c r="O50" s="106">
        <f t="shared" si="64"/>
        <v>119.8</v>
      </c>
      <c r="P50" s="106">
        <f t="shared" si="64"/>
        <v>0</v>
      </c>
      <c r="Q50" s="106">
        <f t="shared" ref="Q50" si="65">P50/O50*100</f>
        <v>0</v>
      </c>
      <c r="R50" s="106">
        <f t="shared" si="64"/>
        <v>0</v>
      </c>
      <c r="S50" s="106">
        <f t="shared" si="64"/>
        <v>0</v>
      </c>
      <c r="T50" s="106">
        <f t="shared" si="64"/>
        <v>0</v>
      </c>
      <c r="U50" s="106">
        <f t="shared" si="64"/>
        <v>0</v>
      </c>
      <c r="V50" s="106">
        <f t="shared" si="64"/>
        <v>0</v>
      </c>
      <c r="W50" s="106">
        <f t="shared" si="64"/>
        <v>0</v>
      </c>
      <c r="X50" s="106">
        <f t="shared" si="64"/>
        <v>179.7</v>
      </c>
      <c r="Y50" s="106">
        <f t="shared" si="64"/>
        <v>0</v>
      </c>
      <c r="Z50" s="106">
        <f t="shared" si="64"/>
        <v>0</v>
      </c>
      <c r="AA50" s="106">
        <f t="shared" si="64"/>
        <v>0</v>
      </c>
      <c r="AB50" s="106">
        <f t="shared" si="64"/>
        <v>0</v>
      </c>
      <c r="AC50" s="106">
        <f t="shared" si="64"/>
        <v>0</v>
      </c>
      <c r="AD50" s="106">
        <f t="shared" si="64"/>
        <v>0</v>
      </c>
      <c r="AE50" s="106">
        <f t="shared" si="64"/>
        <v>0</v>
      </c>
      <c r="AF50" s="106">
        <f t="shared" si="64"/>
        <v>0</v>
      </c>
      <c r="AG50" s="106">
        <f t="shared" si="64"/>
        <v>179.7</v>
      </c>
      <c r="AH50" s="106">
        <f t="shared" si="64"/>
        <v>0</v>
      </c>
      <c r="AI50" s="106">
        <f t="shared" si="64"/>
        <v>0</v>
      </c>
      <c r="AJ50" s="106">
        <f t="shared" si="64"/>
        <v>0</v>
      </c>
      <c r="AK50" s="106">
        <f t="shared" si="64"/>
        <v>0</v>
      </c>
      <c r="AL50" s="106">
        <f t="shared" si="64"/>
        <v>0</v>
      </c>
      <c r="AM50" s="106">
        <f t="shared" si="64"/>
        <v>120.2</v>
      </c>
      <c r="AN50" s="106">
        <f t="shared" si="64"/>
        <v>0</v>
      </c>
      <c r="AO50" s="106">
        <f t="shared" si="64"/>
        <v>0</v>
      </c>
      <c r="AP50" s="106">
        <f t="shared" si="64"/>
        <v>0</v>
      </c>
      <c r="AQ50" s="106">
        <f t="shared" si="64"/>
        <v>0</v>
      </c>
      <c r="AR50" s="106">
        <f t="shared" si="64"/>
        <v>0</v>
      </c>
      <c r="AS50" s="310"/>
      <c r="AT50" s="351"/>
      <c r="AU50" s="121">
        <f t="shared" si="46"/>
        <v>479.2</v>
      </c>
      <c r="AV50" s="121">
        <f t="shared" si="47"/>
        <v>0</v>
      </c>
      <c r="AW50" s="155">
        <f t="shared" si="48"/>
        <v>0</v>
      </c>
    </row>
    <row r="51" spans="1:49" s="100" customFormat="1" ht="24">
      <c r="A51" s="344"/>
      <c r="B51" s="345"/>
      <c r="C51" s="345"/>
      <c r="D51" s="346"/>
      <c r="E51" s="110" t="s">
        <v>257</v>
      </c>
      <c r="F51" s="106">
        <f>F59</f>
        <v>0</v>
      </c>
      <c r="G51" s="106">
        <f t="shared" si="64"/>
        <v>0</v>
      </c>
      <c r="H51" s="106">
        <v>0</v>
      </c>
      <c r="I51" s="106">
        <f t="shared" si="64"/>
        <v>0</v>
      </c>
      <c r="J51" s="106">
        <f t="shared" si="64"/>
        <v>0</v>
      </c>
      <c r="K51" s="106">
        <f t="shared" si="64"/>
        <v>0</v>
      </c>
      <c r="L51" s="106">
        <f t="shared" si="64"/>
        <v>0</v>
      </c>
      <c r="M51" s="106">
        <f t="shared" si="64"/>
        <v>0</v>
      </c>
      <c r="N51" s="106">
        <v>0</v>
      </c>
      <c r="O51" s="106">
        <f t="shared" si="64"/>
        <v>0</v>
      </c>
      <c r="P51" s="106">
        <f t="shared" si="64"/>
        <v>0</v>
      </c>
      <c r="Q51" s="106">
        <f t="shared" si="64"/>
        <v>0</v>
      </c>
      <c r="R51" s="106">
        <f t="shared" si="64"/>
        <v>0</v>
      </c>
      <c r="S51" s="106">
        <f t="shared" si="64"/>
        <v>0</v>
      </c>
      <c r="T51" s="106">
        <f t="shared" si="64"/>
        <v>0</v>
      </c>
      <c r="U51" s="106">
        <f t="shared" si="64"/>
        <v>0</v>
      </c>
      <c r="V51" s="106">
        <f t="shared" si="64"/>
        <v>0</v>
      </c>
      <c r="W51" s="106">
        <f t="shared" si="64"/>
        <v>0</v>
      </c>
      <c r="X51" s="106">
        <f t="shared" si="64"/>
        <v>0</v>
      </c>
      <c r="Y51" s="106">
        <f t="shared" si="64"/>
        <v>0</v>
      </c>
      <c r="Z51" s="106">
        <f t="shared" si="64"/>
        <v>0</v>
      </c>
      <c r="AA51" s="106">
        <f t="shared" si="64"/>
        <v>0</v>
      </c>
      <c r="AB51" s="106">
        <f t="shared" si="64"/>
        <v>0</v>
      </c>
      <c r="AC51" s="106">
        <f t="shared" si="64"/>
        <v>0</v>
      </c>
      <c r="AD51" s="106">
        <f t="shared" si="64"/>
        <v>0</v>
      </c>
      <c r="AE51" s="106">
        <f t="shared" si="64"/>
        <v>0</v>
      </c>
      <c r="AF51" s="106">
        <f t="shared" si="64"/>
        <v>0</v>
      </c>
      <c r="AG51" s="106">
        <f t="shared" si="64"/>
        <v>0</v>
      </c>
      <c r="AH51" s="106">
        <f t="shared" si="64"/>
        <v>0</v>
      </c>
      <c r="AI51" s="106">
        <f t="shared" si="64"/>
        <v>0</v>
      </c>
      <c r="AJ51" s="106">
        <f t="shared" si="64"/>
        <v>0</v>
      </c>
      <c r="AK51" s="106">
        <f t="shared" si="64"/>
        <v>0</v>
      </c>
      <c r="AL51" s="106">
        <f t="shared" si="64"/>
        <v>0</v>
      </c>
      <c r="AM51" s="106">
        <f t="shared" si="64"/>
        <v>0</v>
      </c>
      <c r="AN51" s="106">
        <f t="shared" si="64"/>
        <v>0</v>
      </c>
      <c r="AO51" s="106">
        <f t="shared" si="64"/>
        <v>0</v>
      </c>
      <c r="AP51" s="106">
        <f t="shared" si="64"/>
        <v>0</v>
      </c>
      <c r="AQ51" s="106">
        <f t="shared" si="64"/>
        <v>0</v>
      </c>
      <c r="AR51" s="106">
        <f t="shared" si="64"/>
        <v>0</v>
      </c>
      <c r="AS51" s="311"/>
      <c r="AT51" s="352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1" t="s">
        <v>372</v>
      </c>
      <c r="E52" s="143" t="s">
        <v>275</v>
      </c>
      <c r="F52" s="149" t="s">
        <v>279</v>
      </c>
      <c r="G52" s="149" t="s">
        <v>279</v>
      </c>
      <c r="H52" s="149" t="s">
        <v>279</v>
      </c>
      <c r="I52" s="149" t="s">
        <v>279</v>
      </c>
      <c r="J52" s="149" t="s">
        <v>279</v>
      </c>
      <c r="K52" s="149" t="s">
        <v>279</v>
      </c>
      <c r="L52" s="149" t="s">
        <v>279</v>
      </c>
      <c r="M52" s="149" t="s">
        <v>279</v>
      </c>
      <c r="N52" s="149" t="s">
        <v>279</v>
      </c>
      <c r="O52" s="149" t="s">
        <v>279</v>
      </c>
      <c r="P52" s="149" t="s">
        <v>279</v>
      </c>
      <c r="Q52" s="149" t="s">
        <v>279</v>
      </c>
      <c r="R52" s="149" t="s">
        <v>279</v>
      </c>
      <c r="S52" s="149" t="s">
        <v>279</v>
      </c>
      <c r="T52" s="149" t="s">
        <v>279</v>
      </c>
      <c r="U52" s="149" t="s">
        <v>279</v>
      </c>
      <c r="V52" s="149" t="s">
        <v>279</v>
      </c>
      <c r="W52" s="149" t="s">
        <v>279</v>
      </c>
      <c r="X52" s="149" t="s">
        <v>279</v>
      </c>
      <c r="Y52" s="149" t="s">
        <v>279</v>
      </c>
      <c r="Z52" s="149" t="s">
        <v>279</v>
      </c>
      <c r="AA52" s="149" t="s">
        <v>279</v>
      </c>
      <c r="AB52" s="149" t="s">
        <v>279</v>
      </c>
      <c r="AC52" s="149" t="s">
        <v>279</v>
      </c>
      <c r="AD52" s="149" t="s">
        <v>279</v>
      </c>
      <c r="AE52" s="149" t="s">
        <v>279</v>
      </c>
      <c r="AF52" s="149" t="s">
        <v>279</v>
      </c>
      <c r="AG52" s="149" t="s">
        <v>279</v>
      </c>
      <c r="AH52" s="149" t="s">
        <v>279</v>
      </c>
      <c r="AI52" s="149" t="s">
        <v>279</v>
      </c>
      <c r="AJ52" s="149" t="s">
        <v>279</v>
      </c>
      <c r="AK52" s="149" t="s">
        <v>279</v>
      </c>
      <c r="AL52" s="149" t="s">
        <v>279</v>
      </c>
      <c r="AM52" s="149" t="s">
        <v>279</v>
      </c>
      <c r="AN52" s="149" t="s">
        <v>279</v>
      </c>
      <c r="AO52" s="149" t="s">
        <v>279</v>
      </c>
      <c r="AP52" s="149" t="s">
        <v>279</v>
      </c>
      <c r="AQ52" s="149" t="s">
        <v>279</v>
      </c>
      <c r="AR52" s="149" t="s">
        <v>279</v>
      </c>
      <c r="AS52" s="144" t="s">
        <v>311</v>
      </c>
      <c r="AT52" s="139"/>
      <c r="AU52" s="121"/>
      <c r="AV52" s="121"/>
      <c r="AW52" s="155"/>
    </row>
    <row r="53" spans="1:49" s="100" customFormat="1" ht="264">
      <c r="A53" s="159" t="s">
        <v>373</v>
      </c>
      <c r="B53" s="161" t="s">
        <v>374</v>
      </c>
      <c r="C53" s="162" t="s">
        <v>375</v>
      </c>
      <c r="D53" s="171" t="s">
        <v>376</v>
      </c>
      <c r="E53" s="143" t="s">
        <v>275</v>
      </c>
      <c r="F53" s="149" t="s">
        <v>279</v>
      </c>
      <c r="G53" s="149" t="s">
        <v>279</v>
      </c>
      <c r="H53" s="149" t="s">
        <v>279</v>
      </c>
      <c r="I53" s="149" t="s">
        <v>279</v>
      </c>
      <c r="J53" s="149" t="s">
        <v>279</v>
      </c>
      <c r="K53" s="149" t="s">
        <v>279</v>
      </c>
      <c r="L53" s="149" t="s">
        <v>279</v>
      </c>
      <c r="M53" s="149" t="s">
        <v>279</v>
      </c>
      <c r="N53" s="149" t="s">
        <v>279</v>
      </c>
      <c r="O53" s="149" t="s">
        <v>279</v>
      </c>
      <c r="P53" s="149" t="s">
        <v>279</v>
      </c>
      <c r="Q53" s="149" t="s">
        <v>279</v>
      </c>
      <c r="R53" s="149" t="s">
        <v>279</v>
      </c>
      <c r="S53" s="149" t="s">
        <v>279</v>
      </c>
      <c r="T53" s="149" t="s">
        <v>279</v>
      </c>
      <c r="U53" s="149" t="s">
        <v>279</v>
      </c>
      <c r="V53" s="149" t="s">
        <v>279</v>
      </c>
      <c r="W53" s="149" t="s">
        <v>279</v>
      </c>
      <c r="X53" s="149" t="s">
        <v>279</v>
      </c>
      <c r="Y53" s="149" t="s">
        <v>279</v>
      </c>
      <c r="Z53" s="149" t="s">
        <v>279</v>
      </c>
      <c r="AA53" s="149" t="s">
        <v>279</v>
      </c>
      <c r="AB53" s="149" t="s">
        <v>279</v>
      </c>
      <c r="AC53" s="149" t="s">
        <v>279</v>
      </c>
      <c r="AD53" s="149" t="s">
        <v>279</v>
      </c>
      <c r="AE53" s="149" t="s">
        <v>279</v>
      </c>
      <c r="AF53" s="149" t="s">
        <v>279</v>
      </c>
      <c r="AG53" s="149" t="s">
        <v>279</v>
      </c>
      <c r="AH53" s="149" t="s">
        <v>279</v>
      </c>
      <c r="AI53" s="149" t="s">
        <v>279</v>
      </c>
      <c r="AJ53" s="149" t="s">
        <v>279</v>
      </c>
      <c r="AK53" s="149" t="s">
        <v>279</v>
      </c>
      <c r="AL53" s="149" t="s">
        <v>279</v>
      </c>
      <c r="AM53" s="149" t="s">
        <v>279</v>
      </c>
      <c r="AN53" s="149" t="s">
        <v>279</v>
      </c>
      <c r="AO53" s="149" t="s">
        <v>279</v>
      </c>
      <c r="AP53" s="149" t="s">
        <v>279</v>
      </c>
      <c r="AQ53" s="149" t="s">
        <v>279</v>
      </c>
      <c r="AR53" s="149" t="s">
        <v>279</v>
      </c>
      <c r="AS53" s="156" t="s">
        <v>306</v>
      </c>
      <c r="AT53" s="140"/>
      <c r="AU53" s="121"/>
      <c r="AV53" s="121"/>
      <c r="AW53" s="155"/>
    </row>
    <row r="54" spans="1:49" s="100" customFormat="1" ht="72">
      <c r="A54" s="133" t="s">
        <v>377</v>
      </c>
      <c r="B54" s="165" t="s">
        <v>378</v>
      </c>
      <c r="C54" s="162" t="s">
        <v>276</v>
      </c>
      <c r="D54" s="171" t="s">
        <v>379</v>
      </c>
      <c r="E54" s="143" t="s">
        <v>275</v>
      </c>
      <c r="F54" s="149" t="s">
        <v>279</v>
      </c>
      <c r="G54" s="149" t="s">
        <v>279</v>
      </c>
      <c r="H54" s="149" t="s">
        <v>279</v>
      </c>
      <c r="I54" s="149" t="s">
        <v>279</v>
      </c>
      <c r="J54" s="149" t="s">
        <v>279</v>
      </c>
      <c r="K54" s="149" t="s">
        <v>279</v>
      </c>
      <c r="L54" s="149" t="s">
        <v>279</v>
      </c>
      <c r="M54" s="149" t="s">
        <v>279</v>
      </c>
      <c r="N54" s="149" t="s">
        <v>279</v>
      </c>
      <c r="O54" s="149" t="s">
        <v>279</v>
      </c>
      <c r="P54" s="149" t="s">
        <v>279</v>
      </c>
      <c r="Q54" s="149" t="s">
        <v>279</v>
      </c>
      <c r="R54" s="149" t="s">
        <v>279</v>
      </c>
      <c r="S54" s="149" t="s">
        <v>279</v>
      </c>
      <c r="T54" s="149" t="s">
        <v>279</v>
      </c>
      <c r="U54" s="149" t="s">
        <v>279</v>
      </c>
      <c r="V54" s="149" t="s">
        <v>279</v>
      </c>
      <c r="W54" s="149" t="s">
        <v>279</v>
      </c>
      <c r="X54" s="149" t="s">
        <v>279</v>
      </c>
      <c r="Y54" s="149" t="s">
        <v>279</v>
      </c>
      <c r="Z54" s="149" t="s">
        <v>279</v>
      </c>
      <c r="AA54" s="149" t="s">
        <v>279</v>
      </c>
      <c r="AB54" s="149" t="s">
        <v>279</v>
      </c>
      <c r="AC54" s="149" t="s">
        <v>279</v>
      </c>
      <c r="AD54" s="149" t="s">
        <v>279</v>
      </c>
      <c r="AE54" s="149" t="s">
        <v>279</v>
      </c>
      <c r="AF54" s="149" t="s">
        <v>279</v>
      </c>
      <c r="AG54" s="149" t="s">
        <v>279</v>
      </c>
      <c r="AH54" s="149" t="s">
        <v>279</v>
      </c>
      <c r="AI54" s="149" t="s">
        <v>279</v>
      </c>
      <c r="AJ54" s="149" t="s">
        <v>279</v>
      </c>
      <c r="AK54" s="149" t="s">
        <v>279</v>
      </c>
      <c r="AL54" s="149" t="s">
        <v>279</v>
      </c>
      <c r="AM54" s="149" t="s">
        <v>279</v>
      </c>
      <c r="AN54" s="149" t="s">
        <v>279</v>
      </c>
      <c r="AO54" s="149" t="s">
        <v>279</v>
      </c>
      <c r="AP54" s="149" t="s">
        <v>279</v>
      </c>
      <c r="AQ54" s="149"/>
      <c r="AR54" s="149"/>
      <c r="AS54" s="144" t="s">
        <v>312</v>
      </c>
      <c r="AT54" s="140"/>
      <c r="AU54" s="121"/>
      <c r="AV54" s="121"/>
      <c r="AW54" s="155"/>
    </row>
    <row r="55" spans="1:49" s="100" customFormat="1" ht="84">
      <c r="A55" s="136" t="s">
        <v>380</v>
      </c>
      <c r="B55" s="137" t="s">
        <v>278</v>
      </c>
      <c r="C55" s="135" t="s">
        <v>276</v>
      </c>
      <c r="D55" s="171" t="s">
        <v>381</v>
      </c>
      <c r="E55" s="143" t="s">
        <v>275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 t="s">
        <v>279</v>
      </c>
      <c r="AQ55" s="149"/>
      <c r="AR55" s="149"/>
      <c r="AS55" s="144" t="s">
        <v>313</v>
      </c>
      <c r="AT55" s="140"/>
      <c r="AU55" s="121"/>
      <c r="AV55" s="121"/>
      <c r="AW55" s="155"/>
    </row>
    <row r="56" spans="1:49" s="31" customFormat="1" ht="12.75">
      <c r="A56" s="315" t="s">
        <v>382</v>
      </c>
      <c r="B56" s="318" t="s">
        <v>259</v>
      </c>
      <c r="C56" s="321" t="s">
        <v>271</v>
      </c>
      <c r="D56" s="327" t="s">
        <v>383</v>
      </c>
      <c r="E56" s="107" t="s">
        <v>42</v>
      </c>
      <c r="F56" s="123">
        <f>SUM(F57:F59)</f>
        <v>599.4</v>
      </c>
      <c r="G56" s="123">
        <f t="shared" ref="G56" si="66">SUM(G57:G59)</f>
        <v>0</v>
      </c>
      <c r="H56" s="123">
        <f>G56/F56*100</f>
        <v>0</v>
      </c>
      <c r="I56" s="132">
        <f t="shared" ref="I56:AP56" si="67">I57+I58+I59</f>
        <v>0</v>
      </c>
      <c r="J56" s="132">
        <f t="shared" si="67"/>
        <v>0</v>
      </c>
      <c r="K56" s="123">
        <v>0</v>
      </c>
      <c r="L56" s="132">
        <f t="shared" si="67"/>
        <v>0</v>
      </c>
      <c r="M56" s="132">
        <f t="shared" si="67"/>
        <v>0</v>
      </c>
      <c r="N56" s="132">
        <v>0</v>
      </c>
      <c r="O56" s="132">
        <f t="shared" si="67"/>
        <v>119.8</v>
      </c>
      <c r="P56" s="132">
        <f t="shared" si="67"/>
        <v>0</v>
      </c>
      <c r="Q56" s="123">
        <f t="shared" ref="Q56:Q58" si="68">P56/O56*100</f>
        <v>0</v>
      </c>
      <c r="R56" s="132">
        <f t="shared" si="67"/>
        <v>0</v>
      </c>
      <c r="S56" s="132">
        <f t="shared" si="67"/>
        <v>0</v>
      </c>
      <c r="T56" s="132">
        <f t="shared" si="67"/>
        <v>0</v>
      </c>
      <c r="U56" s="132">
        <f t="shared" si="67"/>
        <v>0</v>
      </c>
      <c r="V56" s="132">
        <f t="shared" si="67"/>
        <v>0</v>
      </c>
      <c r="W56" s="123">
        <v>0</v>
      </c>
      <c r="X56" s="132">
        <f t="shared" si="67"/>
        <v>179.7</v>
      </c>
      <c r="Y56" s="132">
        <f t="shared" si="67"/>
        <v>0</v>
      </c>
      <c r="Z56" s="132">
        <f t="shared" si="67"/>
        <v>0</v>
      </c>
      <c r="AA56" s="132">
        <f t="shared" si="67"/>
        <v>0</v>
      </c>
      <c r="AB56" s="132">
        <f t="shared" si="67"/>
        <v>0</v>
      </c>
      <c r="AC56" s="132">
        <f t="shared" si="67"/>
        <v>0</v>
      </c>
      <c r="AD56" s="132">
        <f t="shared" si="67"/>
        <v>0</v>
      </c>
      <c r="AE56" s="132">
        <f t="shared" si="67"/>
        <v>0</v>
      </c>
      <c r="AF56" s="132">
        <f t="shared" si="67"/>
        <v>0</v>
      </c>
      <c r="AG56" s="132">
        <f t="shared" si="67"/>
        <v>179.7</v>
      </c>
      <c r="AH56" s="132">
        <f t="shared" si="67"/>
        <v>0</v>
      </c>
      <c r="AI56" s="117">
        <f>AH56/AG56*100</f>
        <v>0</v>
      </c>
      <c r="AJ56" s="132">
        <f t="shared" si="67"/>
        <v>0</v>
      </c>
      <c r="AK56" s="132">
        <f t="shared" si="67"/>
        <v>0</v>
      </c>
      <c r="AL56" s="132">
        <f t="shared" si="67"/>
        <v>0</v>
      </c>
      <c r="AM56" s="132">
        <f t="shared" si="67"/>
        <v>120.2</v>
      </c>
      <c r="AN56" s="132">
        <f t="shared" si="67"/>
        <v>0</v>
      </c>
      <c r="AO56" s="132">
        <f t="shared" si="67"/>
        <v>0</v>
      </c>
      <c r="AP56" s="132">
        <f t="shared" si="67"/>
        <v>0</v>
      </c>
      <c r="AQ56" s="104"/>
      <c r="AR56" s="104"/>
      <c r="AS56" s="324" t="s">
        <v>314</v>
      </c>
      <c r="AT56" s="329"/>
      <c r="AU56" s="121">
        <f t="shared" si="46"/>
        <v>479.2</v>
      </c>
      <c r="AV56" s="121">
        <f t="shared" si="47"/>
        <v>0</v>
      </c>
      <c r="AW56" s="155">
        <f t="shared" si="48"/>
        <v>0</v>
      </c>
    </row>
    <row r="57" spans="1:49" s="31" customFormat="1" ht="36">
      <c r="A57" s="316"/>
      <c r="B57" s="319"/>
      <c r="C57" s="322"/>
      <c r="D57" s="328"/>
      <c r="E57" s="108" t="s">
        <v>3</v>
      </c>
      <c r="F57" s="123">
        <f>I57+L57+O57+R57+U57+X57+AA57+AD57+AG57+AJ57+AM57+AP57</f>
        <v>0</v>
      </c>
      <c r="G57" s="123">
        <f>J57+M57+P57+S57+V57+Y57+AB57+AE57+AH57+AK57+AN57+AQ57</f>
        <v>0</v>
      </c>
      <c r="H57" s="123">
        <v>0</v>
      </c>
      <c r="I57" s="123">
        <v>0</v>
      </c>
      <c r="J57" s="123">
        <v>0</v>
      </c>
      <c r="K57" s="123">
        <v>0</v>
      </c>
      <c r="L57" s="150">
        <v>0</v>
      </c>
      <c r="M57" s="123">
        <v>0</v>
      </c>
      <c r="N57" s="138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23">
        <v>0</v>
      </c>
      <c r="AK57" s="123">
        <v>0</v>
      </c>
      <c r="AL57" s="123">
        <v>0</v>
      </c>
      <c r="AM57" s="117">
        <v>0</v>
      </c>
      <c r="AN57" s="117">
        <v>0</v>
      </c>
      <c r="AO57" s="117">
        <v>0</v>
      </c>
      <c r="AP57" s="123">
        <v>0</v>
      </c>
      <c r="AQ57" s="104"/>
      <c r="AR57" s="104"/>
      <c r="AS57" s="325"/>
      <c r="AT57" s="330"/>
      <c r="AU57" s="121"/>
      <c r="AV57" s="121"/>
      <c r="AW57" s="155"/>
    </row>
    <row r="58" spans="1:49" s="31" customFormat="1" ht="12.75">
      <c r="A58" s="316"/>
      <c r="B58" s="319"/>
      <c r="C58" s="322"/>
      <c r="D58" s="328"/>
      <c r="E58" s="108" t="s">
        <v>44</v>
      </c>
      <c r="F58" s="123">
        <f t="shared" ref="F58:F59" si="69">I58+L58+O58+R58+U58+X58+AA58+AD58+AG58+AJ58+AM58+AP58</f>
        <v>599.4</v>
      </c>
      <c r="G58" s="123">
        <f t="shared" ref="G58:G59" si="70">J58+M58+P58+S58+V58+Y58+AB58+AE58+AH58+AK58+AN58+AQ58</f>
        <v>0</v>
      </c>
      <c r="H58" s="123">
        <f>G58/F58*100</f>
        <v>0</v>
      </c>
      <c r="I58" s="123">
        <v>0</v>
      </c>
      <c r="J58" s="123">
        <v>0</v>
      </c>
      <c r="K58" s="123">
        <v>0</v>
      </c>
      <c r="L58" s="150">
        <v>0</v>
      </c>
      <c r="M58" s="123">
        <v>0</v>
      </c>
      <c r="N58" s="138">
        <v>0</v>
      </c>
      <c r="O58" s="123">
        <v>119.8</v>
      </c>
      <c r="P58" s="123">
        <v>0</v>
      </c>
      <c r="Q58" s="123">
        <f t="shared" si="68"/>
        <v>0</v>
      </c>
      <c r="R58" s="123">
        <v>0</v>
      </c>
      <c r="S58" s="123">
        <v>0</v>
      </c>
      <c r="T58" s="123">
        <v>0</v>
      </c>
      <c r="U58" s="117">
        <v>0</v>
      </c>
      <c r="V58" s="117">
        <v>0</v>
      </c>
      <c r="W58" s="123">
        <v>0</v>
      </c>
      <c r="X58" s="117">
        <v>179.7</v>
      </c>
      <c r="Y58" s="117">
        <v>0</v>
      </c>
      <c r="Z58" s="117">
        <f>Y58/X58*100</f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179.7</v>
      </c>
      <c r="AH58" s="117">
        <v>0</v>
      </c>
      <c r="AI58" s="117">
        <f>AH58/AG58*100</f>
        <v>0</v>
      </c>
      <c r="AJ58" s="123">
        <v>0</v>
      </c>
      <c r="AK58" s="123">
        <v>0</v>
      </c>
      <c r="AL58" s="123">
        <v>0</v>
      </c>
      <c r="AM58" s="117">
        <v>120.2</v>
      </c>
      <c r="AN58" s="117">
        <v>0</v>
      </c>
      <c r="AO58" s="117">
        <v>0</v>
      </c>
      <c r="AP58" s="123">
        <v>0</v>
      </c>
      <c r="AQ58" s="104"/>
      <c r="AR58" s="104"/>
      <c r="AS58" s="325"/>
      <c r="AT58" s="330"/>
      <c r="AU58" s="121">
        <f t="shared" si="46"/>
        <v>479.2</v>
      </c>
      <c r="AV58" s="121">
        <f t="shared" si="47"/>
        <v>0</v>
      </c>
      <c r="AW58" s="155">
        <f t="shared" si="48"/>
        <v>0</v>
      </c>
    </row>
    <row r="59" spans="1:49" s="31" customFormat="1" ht="24">
      <c r="A59" s="317"/>
      <c r="B59" s="320"/>
      <c r="C59" s="323"/>
      <c r="D59" s="334"/>
      <c r="E59" s="109" t="s">
        <v>257</v>
      </c>
      <c r="F59" s="123">
        <f t="shared" si="69"/>
        <v>0</v>
      </c>
      <c r="G59" s="123">
        <f t="shared" si="70"/>
        <v>0</v>
      </c>
      <c r="H59" s="123">
        <v>0</v>
      </c>
      <c r="I59" s="123">
        <v>0</v>
      </c>
      <c r="J59" s="123">
        <v>0</v>
      </c>
      <c r="K59" s="123">
        <v>0</v>
      </c>
      <c r="L59" s="150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23">
        <v>0</v>
      </c>
      <c r="AK59" s="123">
        <v>0</v>
      </c>
      <c r="AL59" s="123">
        <v>0</v>
      </c>
      <c r="AM59" s="117">
        <v>0</v>
      </c>
      <c r="AN59" s="117">
        <v>0</v>
      </c>
      <c r="AO59" s="117">
        <v>0</v>
      </c>
      <c r="AP59" s="123">
        <v>0</v>
      </c>
      <c r="AQ59" s="104"/>
      <c r="AR59" s="104"/>
      <c r="AS59" s="326"/>
      <c r="AT59" s="368"/>
      <c r="AU59" s="121"/>
      <c r="AV59" s="121"/>
      <c r="AW59" s="155"/>
    </row>
    <row r="60" spans="1:49" s="31" customFormat="1" ht="15.75">
      <c r="A60" s="297" t="s">
        <v>384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9"/>
      <c r="AU60" s="121"/>
      <c r="AV60" s="121"/>
      <c r="AW60" s="155"/>
    </row>
    <row r="61" spans="1:49" s="31" customFormat="1" ht="15.75">
      <c r="A61" s="297" t="s">
        <v>385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9"/>
      <c r="AU61" s="121"/>
      <c r="AV61" s="121"/>
      <c r="AW61" s="155"/>
    </row>
    <row r="62" spans="1:49" s="100" customFormat="1" ht="12.75">
      <c r="A62" s="338" t="s">
        <v>272</v>
      </c>
      <c r="B62" s="339"/>
      <c r="C62" s="339"/>
      <c r="D62" s="340"/>
      <c r="E62" s="129" t="s">
        <v>42</v>
      </c>
      <c r="F62" s="106">
        <f>F63+F64+F65</f>
        <v>10628.100000000002</v>
      </c>
      <c r="G62" s="106">
        <f t="shared" ref="G62:AP62" si="71">G63+G64+G65</f>
        <v>0</v>
      </c>
      <c r="H62" s="106">
        <f>G62/F62*100</f>
        <v>0</v>
      </c>
      <c r="I62" s="106">
        <f t="shared" si="71"/>
        <v>0</v>
      </c>
      <c r="J62" s="106">
        <f t="shared" si="71"/>
        <v>0</v>
      </c>
      <c r="K62" s="106">
        <v>0</v>
      </c>
      <c r="L62" s="106">
        <f t="shared" si="71"/>
        <v>2337.5</v>
      </c>
      <c r="M62" s="106">
        <f t="shared" si="71"/>
        <v>0</v>
      </c>
      <c r="N62" s="106">
        <f t="shared" si="71"/>
        <v>0</v>
      </c>
      <c r="O62" s="106">
        <f t="shared" si="71"/>
        <v>2141.4</v>
      </c>
      <c r="P62" s="106">
        <f t="shared" si="71"/>
        <v>0</v>
      </c>
      <c r="Q62" s="106">
        <f>P62/O62*100</f>
        <v>0</v>
      </c>
      <c r="R62" s="106">
        <f t="shared" si="71"/>
        <v>328.59999999999997</v>
      </c>
      <c r="S62" s="106">
        <f t="shared" si="71"/>
        <v>0</v>
      </c>
      <c r="T62" s="106">
        <f>S62/R62*100</f>
        <v>0</v>
      </c>
      <c r="U62" s="106">
        <f t="shared" si="71"/>
        <v>1220.6000000000001</v>
      </c>
      <c r="V62" s="106">
        <f t="shared" si="71"/>
        <v>0</v>
      </c>
      <c r="W62" s="106">
        <f t="shared" si="71"/>
        <v>0</v>
      </c>
      <c r="X62" s="106">
        <f t="shared" si="71"/>
        <v>1288.6000000000001</v>
      </c>
      <c r="Y62" s="106">
        <f t="shared" si="71"/>
        <v>0</v>
      </c>
      <c r="Z62" s="106">
        <f t="shared" si="71"/>
        <v>0</v>
      </c>
      <c r="AA62" s="106">
        <f t="shared" si="71"/>
        <v>1075.6000000000001</v>
      </c>
      <c r="AB62" s="106">
        <f t="shared" si="71"/>
        <v>0</v>
      </c>
      <c r="AC62" s="106">
        <f t="shared" si="71"/>
        <v>0</v>
      </c>
      <c r="AD62" s="106">
        <f t="shared" si="71"/>
        <v>150.6</v>
      </c>
      <c r="AE62" s="106">
        <f t="shared" si="71"/>
        <v>0</v>
      </c>
      <c r="AF62" s="106">
        <f t="shared" ref="AF62" si="72">AE62/AD62*100</f>
        <v>0</v>
      </c>
      <c r="AG62" s="106">
        <f t="shared" si="71"/>
        <v>200.6</v>
      </c>
      <c r="AH62" s="106">
        <f t="shared" si="71"/>
        <v>0</v>
      </c>
      <c r="AI62" s="106">
        <f t="shared" si="71"/>
        <v>0</v>
      </c>
      <c r="AJ62" s="106">
        <f t="shared" si="71"/>
        <v>162.6</v>
      </c>
      <c r="AK62" s="106">
        <f t="shared" si="71"/>
        <v>0</v>
      </c>
      <c r="AL62" s="106">
        <f t="shared" si="71"/>
        <v>0</v>
      </c>
      <c r="AM62" s="106">
        <f t="shared" si="71"/>
        <v>1350.0000000000002</v>
      </c>
      <c r="AN62" s="106">
        <f t="shared" si="71"/>
        <v>0</v>
      </c>
      <c r="AO62" s="106">
        <f t="shared" si="71"/>
        <v>0</v>
      </c>
      <c r="AP62" s="106">
        <f t="shared" si="71"/>
        <v>372</v>
      </c>
      <c r="AQ62" s="106">
        <f>AQ92+AQ100</f>
        <v>0</v>
      </c>
      <c r="AR62" s="106">
        <f>AR92+AR100</f>
        <v>0</v>
      </c>
      <c r="AS62" s="309"/>
      <c r="AT62" s="350"/>
      <c r="AU62" s="121">
        <f t="shared" si="46"/>
        <v>8743.5000000000018</v>
      </c>
      <c r="AV62" s="121">
        <f t="shared" si="47"/>
        <v>0</v>
      </c>
      <c r="AW62" s="155">
        <f t="shared" si="48"/>
        <v>0</v>
      </c>
    </row>
    <row r="63" spans="1:49" s="100" customFormat="1" ht="36">
      <c r="A63" s="341"/>
      <c r="B63" s="342"/>
      <c r="C63" s="342"/>
      <c r="D63" s="343"/>
      <c r="E63" s="111" t="s">
        <v>3</v>
      </c>
      <c r="F63" s="106">
        <f>F70+F74+F78</f>
        <v>0</v>
      </c>
      <c r="G63" s="106">
        <f t="shared" ref="G63:AR65" si="73">G70+G74+G78</f>
        <v>0</v>
      </c>
      <c r="H63" s="106">
        <v>0</v>
      </c>
      <c r="I63" s="106">
        <f t="shared" si="73"/>
        <v>0</v>
      </c>
      <c r="J63" s="106">
        <f t="shared" si="73"/>
        <v>0</v>
      </c>
      <c r="K63" s="106">
        <v>0</v>
      </c>
      <c r="L63" s="106">
        <f t="shared" si="73"/>
        <v>0</v>
      </c>
      <c r="M63" s="106">
        <f t="shared" si="73"/>
        <v>0</v>
      </c>
      <c r="N63" s="106">
        <f t="shared" si="73"/>
        <v>0</v>
      </c>
      <c r="O63" s="106">
        <f t="shared" si="73"/>
        <v>0</v>
      </c>
      <c r="P63" s="106">
        <f t="shared" si="73"/>
        <v>0</v>
      </c>
      <c r="Q63" s="106">
        <v>0</v>
      </c>
      <c r="R63" s="106">
        <f t="shared" si="73"/>
        <v>0</v>
      </c>
      <c r="S63" s="106">
        <f t="shared" si="73"/>
        <v>0</v>
      </c>
      <c r="T63" s="106">
        <v>0</v>
      </c>
      <c r="U63" s="106">
        <f t="shared" si="73"/>
        <v>0</v>
      </c>
      <c r="V63" s="106">
        <f t="shared" si="73"/>
        <v>0</v>
      </c>
      <c r="W63" s="106">
        <f t="shared" si="73"/>
        <v>0</v>
      </c>
      <c r="X63" s="106">
        <f t="shared" si="73"/>
        <v>0</v>
      </c>
      <c r="Y63" s="106">
        <f t="shared" si="73"/>
        <v>0</v>
      </c>
      <c r="Z63" s="106">
        <f t="shared" si="73"/>
        <v>0</v>
      </c>
      <c r="AA63" s="106">
        <f t="shared" si="73"/>
        <v>0</v>
      </c>
      <c r="AB63" s="106">
        <f t="shared" si="73"/>
        <v>0</v>
      </c>
      <c r="AC63" s="106">
        <f t="shared" si="73"/>
        <v>0</v>
      </c>
      <c r="AD63" s="106">
        <f t="shared" si="73"/>
        <v>0</v>
      </c>
      <c r="AE63" s="106">
        <f t="shared" si="73"/>
        <v>0</v>
      </c>
      <c r="AF63" s="106">
        <f t="shared" si="73"/>
        <v>0</v>
      </c>
      <c r="AG63" s="106">
        <f t="shared" si="73"/>
        <v>0</v>
      </c>
      <c r="AH63" s="106">
        <f t="shared" si="73"/>
        <v>0</v>
      </c>
      <c r="AI63" s="106">
        <f t="shared" si="73"/>
        <v>0</v>
      </c>
      <c r="AJ63" s="106">
        <f t="shared" si="73"/>
        <v>0</v>
      </c>
      <c r="AK63" s="106">
        <f t="shared" si="73"/>
        <v>0</v>
      </c>
      <c r="AL63" s="106">
        <f t="shared" si="73"/>
        <v>0</v>
      </c>
      <c r="AM63" s="106">
        <f t="shared" si="73"/>
        <v>0</v>
      </c>
      <c r="AN63" s="106">
        <f t="shared" si="73"/>
        <v>0</v>
      </c>
      <c r="AO63" s="106">
        <f t="shared" si="73"/>
        <v>0</v>
      </c>
      <c r="AP63" s="106">
        <f t="shared" si="73"/>
        <v>0</v>
      </c>
      <c r="AQ63" s="106">
        <f t="shared" si="73"/>
        <v>0</v>
      </c>
      <c r="AR63" s="106">
        <f t="shared" si="73"/>
        <v>0</v>
      </c>
      <c r="AS63" s="310"/>
      <c r="AT63" s="351"/>
      <c r="AU63" s="121"/>
      <c r="AV63" s="121"/>
      <c r="AW63" s="155"/>
    </row>
    <row r="64" spans="1:49" s="100" customFormat="1" ht="24">
      <c r="A64" s="341"/>
      <c r="B64" s="342"/>
      <c r="C64" s="342"/>
      <c r="D64" s="343"/>
      <c r="E64" s="111" t="s">
        <v>44</v>
      </c>
      <c r="F64" s="106">
        <f>F71+F75+F79</f>
        <v>10628.100000000002</v>
      </c>
      <c r="G64" s="106">
        <f t="shared" si="73"/>
        <v>0</v>
      </c>
      <c r="H64" s="106">
        <f>G64/F64*100</f>
        <v>0</v>
      </c>
      <c r="I64" s="106">
        <f t="shared" si="73"/>
        <v>0</v>
      </c>
      <c r="J64" s="106">
        <f t="shared" si="73"/>
        <v>0</v>
      </c>
      <c r="K64" s="106">
        <v>0</v>
      </c>
      <c r="L64" s="106">
        <f t="shared" si="73"/>
        <v>2337.5</v>
      </c>
      <c r="M64" s="106">
        <f t="shared" si="73"/>
        <v>0</v>
      </c>
      <c r="N64" s="106">
        <f t="shared" si="73"/>
        <v>0</v>
      </c>
      <c r="O64" s="106">
        <f t="shared" si="73"/>
        <v>2141.4</v>
      </c>
      <c r="P64" s="106">
        <f t="shared" si="73"/>
        <v>0</v>
      </c>
      <c r="Q64" s="106">
        <f t="shared" ref="Q64" si="74">P64/O64*100</f>
        <v>0</v>
      </c>
      <c r="R64" s="106">
        <f t="shared" si="73"/>
        <v>328.59999999999997</v>
      </c>
      <c r="S64" s="106">
        <f t="shared" si="73"/>
        <v>0</v>
      </c>
      <c r="T64" s="106">
        <f t="shared" ref="T64" si="75">S64/R64*100</f>
        <v>0</v>
      </c>
      <c r="U64" s="106">
        <f t="shared" si="73"/>
        <v>1220.6000000000001</v>
      </c>
      <c r="V64" s="106">
        <f t="shared" si="73"/>
        <v>0</v>
      </c>
      <c r="W64" s="106">
        <f t="shared" si="73"/>
        <v>0</v>
      </c>
      <c r="X64" s="106">
        <f t="shared" si="73"/>
        <v>1288.6000000000001</v>
      </c>
      <c r="Y64" s="106">
        <f t="shared" si="73"/>
        <v>0</v>
      </c>
      <c r="Z64" s="106">
        <f t="shared" si="73"/>
        <v>0</v>
      </c>
      <c r="AA64" s="106">
        <f t="shared" si="73"/>
        <v>1075.6000000000001</v>
      </c>
      <c r="AB64" s="106">
        <f t="shared" si="73"/>
        <v>0</v>
      </c>
      <c r="AC64" s="106">
        <f t="shared" si="73"/>
        <v>0</v>
      </c>
      <c r="AD64" s="106">
        <f t="shared" si="73"/>
        <v>150.6</v>
      </c>
      <c r="AE64" s="106">
        <f t="shared" si="73"/>
        <v>0</v>
      </c>
      <c r="AF64" s="106">
        <f t="shared" ref="AF64" si="76">AE64/AD64*100</f>
        <v>0</v>
      </c>
      <c r="AG64" s="106">
        <f t="shared" si="73"/>
        <v>200.6</v>
      </c>
      <c r="AH64" s="106">
        <f t="shared" si="73"/>
        <v>0</v>
      </c>
      <c r="AI64" s="106">
        <f t="shared" si="73"/>
        <v>0</v>
      </c>
      <c r="AJ64" s="106">
        <f t="shared" si="73"/>
        <v>162.6</v>
      </c>
      <c r="AK64" s="106">
        <f t="shared" si="73"/>
        <v>0</v>
      </c>
      <c r="AL64" s="106">
        <f t="shared" si="73"/>
        <v>0</v>
      </c>
      <c r="AM64" s="106">
        <f t="shared" si="73"/>
        <v>1350.0000000000002</v>
      </c>
      <c r="AN64" s="106">
        <f t="shared" si="73"/>
        <v>0</v>
      </c>
      <c r="AO64" s="106">
        <f t="shared" si="73"/>
        <v>0</v>
      </c>
      <c r="AP64" s="106">
        <f t="shared" si="73"/>
        <v>372</v>
      </c>
      <c r="AQ64" s="106">
        <f t="shared" si="73"/>
        <v>0</v>
      </c>
      <c r="AR64" s="106">
        <f t="shared" si="73"/>
        <v>0</v>
      </c>
      <c r="AS64" s="310"/>
      <c r="AT64" s="351"/>
      <c r="AU64" s="121">
        <f t="shared" si="46"/>
        <v>8743.5000000000018</v>
      </c>
      <c r="AV64" s="121">
        <f t="shared" si="47"/>
        <v>0</v>
      </c>
      <c r="AW64" s="155">
        <f t="shared" si="48"/>
        <v>0</v>
      </c>
    </row>
    <row r="65" spans="1:49" s="100" customFormat="1" ht="24">
      <c r="A65" s="344"/>
      <c r="B65" s="345"/>
      <c r="C65" s="345"/>
      <c r="D65" s="346"/>
      <c r="E65" s="110" t="s">
        <v>257</v>
      </c>
      <c r="F65" s="106">
        <f>F72+F76+F80</f>
        <v>0</v>
      </c>
      <c r="G65" s="106">
        <f t="shared" si="73"/>
        <v>0</v>
      </c>
      <c r="H65" s="106">
        <v>0</v>
      </c>
      <c r="I65" s="106">
        <f t="shared" si="73"/>
        <v>0</v>
      </c>
      <c r="J65" s="106">
        <f t="shared" si="73"/>
        <v>0</v>
      </c>
      <c r="K65" s="106">
        <v>0</v>
      </c>
      <c r="L65" s="106">
        <f t="shared" si="73"/>
        <v>0</v>
      </c>
      <c r="M65" s="106">
        <f t="shared" si="73"/>
        <v>0</v>
      </c>
      <c r="N65" s="106">
        <f t="shared" si="73"/>
        <v>0</v>
      </c>
      <c r="O65" s="106">
        <f t="shared" si="73"/>
        <v>0</v>
      </c>
      <c r="P65" s="106">
        <f t="shared" si="73"/>
        <v>0</v>
      </c>
      <c r="Q65" s="106">
        <v>0</v>
      </c>
      <c r="R65" s="106">
        <f t="shared" si="73"/>
        <v>0</v>
      </c>
      <c r="S65" s="106">
        <f t="shared" si="73"/>
        <v>0</v>
      </c>
      <c r="T65" s="106">
        <v>0</v>
      </c>
      <c r="U65" s="106">
        <f t="shared" si="73"/>
        <v>0</v>
      </c>
      <c r="V65" s="106">
        <f t="shared" si="73"/>
        <v>0</v>
      </c>
      <c r="W65" s="106">
        <f t="shared" si="73"/>
        <v>0</v>
      </c>
      <c r="X65" s="106">
        <f t="shared" si="73"/>
        <v>0</v>
      </c>
      <c r="Y65" s="106">
        <f t="shared" si="73"/>
        <v>0</v>
      </c>
      <c r="Z65" s="106">
        <f t="shared" si="73"/>
        <v>0</v>
      </c>
      <c r="AA65" s="106">
        <f t="shared" si="73"/>
        <v>0</v>
      </c>
      <c r="AB65" s="106">
        <f t="shared" si="73"/>
        <v>0</v>
      </c>
      <c r="AC65" s="106">
        <f t="shared" si="73"/>
        <v>0</v>
      </c>
      <c r="AD65" s="106">
        <f t="shared" si="73"/>
        <v>0</v>
      </c>
      <c r="AE65" s="106">
        <f t="shared" si="73"/>
        <v>0</v>
      </c>
      <c r="AF65" s="106">
        <f t="shared" si="73"/>
        <v>0</v>
      </c>
      <c r="AG65" s="106">
        <f t="shared" si="73"/>
        <v>0</v>
      </c>
      <c r="AH65" s="106">
        <f t="shared" si="73"/>
        <v>0</v>
      </c>
      <c r="AI65" s="106">
        <f t="shared" si="73"/>
        <v>0</v>
      </c>
      <c r="AJ65" s="106">
        <f t="shared" si="73"/>
        <v>0</v>
      </c>
      <c r="AK65" s="106">
        <f t="shared" si="73"/>
        <v>0</v>
      </c>
      <c r="AL65" s="106">
        <f t="shared" si="73"/>
        <v>0</v>
      </c>
      <c r="AM65" s="106">
        <f t="shared" si="73"/>
        <v>0</v>
      </c>
      <c r="AN65" s="106">
        <f t="shared" si="73"/>
        <v>0</v>
      </c>
      <c r="AO65" s="106">
        <f t="shared" si="73"/>
        <v>0</v>
      </c>
      <c r="AP65" s="106">
        <f t="shared" si="73"/>
        <v>0</v>
      </c>
      <c r="AQ65" s="106">
        <f t="shared" si="73"/>
        <v>0</v>
      </c>
      <c r="AR65" s="106">
        <f t="shared" si="73"/>
        <v>0</v>
      </c>
      <c r="AS65" s="311"/>
      <c r="AT65" s="352"/>
      <c r="AU65" s="121"/>
      <c r="AV65" s="121"/>
      <c r="AW65" s="155"/>
    </row>
    <row r="66" spans="1:49" s="100" customFormat="1" ht="138.75" customHeight="1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23" customHeight="1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65" t="s">
        <v>395</v>
      </c>
      <c r="B69" s="318" t="s">
        <v>396</v>
      </c>
      <c r="C69" s="321" t="s">
        <v>277</v>
      </c>
      <c r="D69" s="327" t="s">
        <v>397</v>
      </c>
      <c r="E69" s="107" t="s">
        <v>42</v>
      </c>
      <c r="F69" s="123">
        <f>SUM(F70:F72)</f>
        <v>1612.1</v>
      </c>
      <c r="G69" s="123">
        <f t="shared" ref="G69" si="77">SUM(G70:G72)</f>
        <v>0</v>
      </c>
      <c r="H69" s="123">
        <f>G69/F69*100</f>
        <v>0</v>
      </c>
      <c r="I69" s="138">
        <f t="shared" ref="I69:AP69" si="78">I70+I71+I72</f>
        <v>0</v>
      </c>
      <c r="J69" s="138">
        <f t="shared" si="78"/>
        <v>0</v>
      </c>
      <c r="K69" s="123">
        <v>0</v>
      </c>
      <c r="L69" s="138">
        <f t="shared" si="78"/>
        <v>61.4</v>
      </c>
      <c r="M69" s="132">
        <f t="shared" si="78"/>
        <v>0</v>
      </c>
      <c r="N69" s="132">
        <f>M69/L69*100</f>
        <v>0</v>
      </c>
      <c r="O69" s="132">
        <f t="shared" si="78"/>
        <v>207.4</v>
      </c>
      <c r="P69" s="132">
        <f t="shared" si="78"/>
        <v>0</v>
      </c>
      <c r="Q69" s="123">
        <f t="shared" ref="Q69:Q79" si="79">P69/O69*100</f>
        <v>0</v>
      </c>
      <c r="R69" s="132">
        <f t="shared" si="78"/>
        <v>61.4</v>
      </c>
      <c r="S69" s="132">
        <f t="shared" si="78"/>
        <v>0</v>
      </c>
      <c r="T69" s="132">
        <f>S69/R69*100</f>
        <v>0</v>
      </c>
      <c r="U69" s="138">
        <f t="shared" si="78"/>
        <v>61.4</v>
      </c>
      <c r="V69" s="138">
        <f t="shared" si="78"/>
        <v>0</v>
      </c>
      <c r="W69" s="132">
        <f t="shared" ref="W69" si="80">V69/U69*100</f>
        <v>0</v>
      </c>
      <c r="X69" s="132">
        <f t="shared" si="78"/>
        <v>61.4</v>
      </c>
      <c r="Y69" s="132">
        <f t="shared" si="78"/>
        <v>0</v>
      </c>
      <c r="Z69" s="132">
        <f t="shared" ref="Z69" si="81">Y69/X69*100</f>
        <v>0</v>
      </c>
      <c r="AA69" s="132">
        <f t="shared" si="78"/>
        <v>61.4</v>
      </c>
      <c r="AB69" s="132">
        <f t="shared" si="78"/>
        <v>0</v>
      </c>
      <c r="AC69" s="132">
        <f t="shared" ref="AC69" si="82">AB69/AA69*100</f>
        <v>0</v>
      </c>
      <c r="AD69" s="132">
        <f t="shared" si="78"/>
        <v>61.4</v>
      </c>
      <c r="AE69" s="138">
        <f t="shared" si="78"/>
        <v>0</v>
      </c>
      <c r="AF69" s="104">
        <f t="shared" ref="AF69" si="83">AE69/AD69*100</f>
        <v>0</v>
      </c>
      <c r="AG69" s="138">
        <f t="shared" si="78"/>
        <v>61.4</v>
      </c>
      <c r="AH69" s="138">
        <f t="shared" si="78"/>
        <v>0</v>
      </c>
      <c r="AI69" s="132">
        <f t="shared" ref="AI69" si="84">AH69/AG69*100</f>
        <v>0</v>
      </c>
      <c r="AJ69" s="138">
        <f t="shared" si="78"/>
        <v>61.4</v>
      </c>
      <c r="AK69" s="138">
        <f t="shared" si="78"/>
        <v>0</v>
      </c>
      <c r="AL69" s="138">
        <f t="shared" si="78"/>
        <v>0</v>
      </c>
      <c r="AM69" s="138">
        <f t="shared" si="78"/>
        <v>790.7</v>
      </c>
      <c r="AN69" s="138">
        <f t="shared" si="78"/>
        <v>0</v>
      </c>
      <c r="AO69" s="138">
        <f t="shared" si="78"/>
        <v>0</v>
      </c>
      <c r="AP69" s="138">
        <f t="shared" si="78"/>
        <v>122.8</v>
      </c>
      <c r="AQ69" s="104"/>
      <c r="AR69" s="104"/>
      <c r="AS69" s="324" t="s">
        <v>317</v>
      </c>
      <c r="AT69" s="329"/>
      <c r="AU69" s="121">
        <f t="shared" si="46"/>
        <v>637.19999999999993</v>
      </c>
      <c r="AV69" s="121">
        <f t="shared" si="47"/>
        <v>0</v>
      </c>
      <c r="AW69" s="155">
        <f t="shared" si="48"/>
        <v>0</v>
      </c>
    </row>
    <row r="70" spans="1:49" s="31" customFormat="1" ht="36">
      <c r="A70" s="366"/>
      <c r="B70" s="319"/>
      <c r="C70" s="322"/>
      <c r="D70" s="328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25"/>
      <c r="AT70" s="330"/>
      <c r="AU70" s="121"/>
      <c r="AV70" s="121"/>
      <c r="AW70" s="155"/>
    </row>
    <row r="71" spans="1:49" s="31" customFormat="1" ht="12.75">
      <c r="A71" s="366"/>
      <c r="B71" s="319"/>
      <c r="C71" s="322"/>
      <c r="D71" s="328"/>
      <c r="E71" s="108" t="s">
        <v>44</v>
      </c>
      <c r="F71" s="123">
        <f t="shared" ref="F71:F72" si="85">I71+L71+O71+R71+U71+X71+AA71+AD71+AG71+AJ71+AM71+AP71</f>
        <v>1612.1</v>
      </c>
      <c r="G71" s="123">
        <f t="shared" ref="G71:G72" si="86">J71+M71+P71+S71+V71+Y71+AB71+AE71+AH71+AK71+AN71+AQ71</f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87">M71/L71*100</f>
        <v>0</v>
      </c>
      <c r="O71" s="123">
        <v>207.4</v>
      </c>
      <c r="P71" s="123">
        <v>0</v>
      </c>
      <c r="Q71" s="123">
        <f t="shared" si="79"/>
        <v>0</v>
      </c>
      <c r="R71" s="123">
        <v>61.4</v>
      </c>
      <c r="S71" s="123">
        <v>0</v>
      </c>
      <c r="T71" s="132">
        <f t="shared" ref="T71:T79" si="88">S71/R71*100</f>
        <v>0</v>
      </c>
      <c r="U71" s="117">
        <v>61.4</v>
      </c>
      <c r="V71" s="117">
        <v>0</v>
      </c>
      <c r="W71" s="132">
        <f t="shared" ref="W71" si="89">V71/U71*100</f>
        <v>0</v>
      </c>
      <c r="X71" s="117">
        <v>61.4</v>
      </c>
      <c r="Y71" s="117">
        <v>0</v>
      </c>
      <c r="Z71" s="132">
        <f t="shared" ref="Z71" si="90">Y71/X71*100</f>
        <v>0</v>
      </c>
      <c r="AA71" s="117">
        <v>61.4</v>
      </c>
      <c r="AB71" s="117">
        <v>0</v>
      </c>
      <c r="AC71" s="132">
        <f t="shared" ref="AC71" si="91">AB71/AA71*100</f>
        <v>0</v>
      </c>
      <c r="AD71" s="117">
        <v>61.4</v>
      </c>
      <c r="AE71" s="117">
        <v>0</v>
      </c>
      <c r="AF71" s="132">
        <f t="shared" ref="AF71" si="92">AE71/AD71*100</f>
        <v>0</v>
      </c>
      <c r="AG71" s="117">
        <v>61.4</v>
      </c>
      <c r="AH71" s="117">
        <v>0</v>
      </c>
      <c r="AI71" s="132">
        <f t="shared" ref="AI71" si="93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25"/>
      <c r="AT71" s="330"/>
      <c r="AU71" s="121">
        <f t="shared" si="46"/>
        <v>637.19999999999993</v>
      </c>
      <c r="AV71" s="121">
        <f t="shared" si="47"/>
        <v>0</v>
      </c>
      <c r="AW71" s="155">
        <f t="shared" si="48"/>
        <v>0</v>
      </c>
    </row>
    <row r="72" spans="1:49" s="31" customFormat="1" ht="24">
      <c r="A72" s="367"/>
      <c r="B72" s="320"/>
      <c r="C72" s="323"/>
      <c r="D72" s="334"/>
      <c r="E72" s="109" t="s">
        <v>257</v>
      </c>
      <c r="F72" s="123">
        <f t="shared" si="85"/>
        <v>0</v>
      </c>
      <c r="G72" s="123">
        <f t="shared" si="86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26"/>
      <c r="AT72" s="368"/>
      <c r="AU72" s="121"/>
      <c r="AV72" s="121"/>
      <c r="AW72" s="155"/>
    </row>
    <row r="73" spans="1:49" s="31" customFormat="1" ht="12.75" customHeight="1">
      <c r="A73" s="365" t="s">
        <v>398</v>
      </c>
      <c r="B73" s="318" t="s">
        <v>258</v>
      </c>
      <c r="C73" s="321" t="s">
        <v>277</v>
      </c>
      <c r="D73" s="327" t="s">
        <v>400</v>
      </c>
      <c r="E73" s="107" t="s">
        <v>42</v>
      </c>
      <c r="F73" s="123">
        <f>SUM(F74:F76)</f>
        <v>455.1</v>
      </c>
      <c r="G73" s="123">
        <f t="shared" ref="G73" si="94">SUM(G74:G76)</f>
        <v>0</v>
      </c>
      <c r="H73" s="123">
        <f>G73/F73*100</f>
        <v>0</v>
      </c>
      <c r="I73" s="138">
        <f t="shared" ref="I73:AP73" si="95">I74+I75+I76</f>
        <v>0</v>
      </c>
      <c r="J73" s="138">
        <f t="shared" si="95"/>
        <v>0</v>
      </c>
      <c r="K73" s="123">
        <v>0</v>
      </c>
      <c r="L73" s="138">
        <f t="shared" si="95"/>
        <v>0</v>
      </c>
      <c r="M73" s="132">
        <f t="shared" si="95"/>
        <v>0</v>
      </c>
      <c r="N73" s="132">
        <v>0</v>
      </c>
      <c r="O73" s="132">
        <f t="shared" si="95"/>
        <v>0</v>
      </c>
      <c r="P73" s="132">
        <f t="shared" si="95"/>
        <v>0</v>
      </c>
      <c r="Q73" s="123">
        <v>0</v>
      </c>
      <c r="R73" s="132">
        <f t="shared" si="95"/>
        <v>0</v>
      </c>
      <c r="S73" s="132">
        <f t="shared" si="95"/>
        <v>0</v>
      </c>
      <c r="T73" s="132">
        <v>0</v>
      </c>
      <c r="U73" s="132">
        <f t="shared" si="95"/>
        <v>0</v>
      </c>
      <c r="V73" s="132">
        <f t="shared" si="95"/>
        <v>0</v>
      </c>
      <c r="W73" s="132">
        <f t="shared" si="95"/>
        <v>0</v>
      </c>
      <c r="X73" s="132">
        <f t="shared" si="95"/>
        <v>0</v>
      </c>
      <c r="Y73" s="132">
        <f t="shared" si="95"/>
        <v>0</v>
      </c>
      <c r="Z73" s="138">
        <f t="shared" si="95"/>
        <v>0</v>
      </c>
      <c r="AA73" s="138">
        <f t="shared" si="95"/>
        <v>0</v>
      </c>
      <c r="AB73" s="138">
        <f t="shared" si="95"/>
        <v>0</v>
      </c>
      <c r="AC73" s="138">
        <f t="shared" si="95"/>
        <v>0</v>
      </c>
      <c r="AD73" s="132">
        <f t="shared" si="95"/>
        <v>0</v>
      </c>
      <c r="AE73" s="132">
        <f t="shared" si="95"/>
        <v>0</v>
      </c>
      <c r="AF73" s="132">
        <f t="shared" si="95"/>
        <v>0</v>
      </c>
      <c r="AG73" s="132">
        <f t="shared" si="95"/>
        <v>0</v>
      </c>
      <c r="AH73" s="132">
        <f t="shared" si="95"/>
        <v>0</v>
      </c>
      <c r="AI73" s="132">
        <f t="shared" si="95"/>
        <v>0</v>
      </c>
      <c r="AJ73" s="132">
        <f t="shared" si="95"/>
        <v>0</v>
      </c>
      <c r="AK73" s="132">
        <f t="shared" si="95"/>
        <v>0</v>
      </c>
      <c r="AL73" s="132">
        <f t="shared" si="95"/>
        <v>0</v>
      </c>
      <c r="AM73" s="132">
        <f t="shared" si="95"/>
        <v>455.1</v>
      </c>
      <c r="AN73" s="132">
        <f t="shared" si="95"/>
        <v>0</v>
      </c>
      <c r="AO73" s="132">
        <f t="shared" si="95"/>
        <v>0</v>
      </c>
      <c r="AP73" s="132">
        <f t="shared" si="95"/>
        <v>0</v>
      </c>
      <c r="AQ73" s="104"/>
      <c r="AR73" s="104"/>
      <c r="AS73" s="369" t="s">
        <v>281</v>
      </c>
      <c r="AT73" s="335" t="s">
        <v>300</v>
      </c>
      <c r="AU73" s="121"/>
      <c r="AV73" s="121"/>
      <c r="AW73" s="155"/>
    </row>
    <row r="74" spans="1:49" s="31" customFormat="1" ht="39" customHeight="1">
      <c r="A74" s="366"/>
      <c r="B74" s="319"/>
      <c r="C74" s="322"/>
      <c r="D74" s="328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70"/>
      <c r="AT74" s="336"/>
      <c r="AU74" s="121"/>
      <c r="AV74" s="121"/>
      <c r="AW74" s="155"/>
    </row>
    <row r="75" spans="1:49" s="31" customFormat="1" ht="13.5" customHeight="1">
      <c r="A75" s="366"/>
      <c r="B75" s="319"/>
      <c r="C75" s="322"/>
      <c r="D75" s="328"/>
      <c r="E75" s="108" t="s">
        <v>44</v>
      </c>
      <c r="F75" s="123">
        <f t="shared" ref="F75:F76" si="96">I75+L75+O75+R75+U75+X75+AA75+AD75+AG75+AJ75+AM75+AP75</f>
        <v>455.1</v>
      </c>
      <c r="G75" s="123">
        <f t="shared" ref="G75:G76" si="97">J75+M75+P75+S75+V75+Y75+AB75+AE75+AH75+AK75+AN75+AQ75</f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70"/>
      <c r="AT75" s="336"/>
      <c r="AU75" s="121"/>
      <c r="AV75" s="121"/>
      <c r="AW75" s="155"/>
    </row>
    <row r="76" spans="1:49" s="31" customFormat="1" ht="31.5" customHeight="1">
      <c r="A76" s="367"/>
      <c r="B76" s="320"/>
      <c r="C76" s="323"/>
      <c r="D76" s="334"/>
      <c r="E76" s="109" t="s">
        <v>257</v>
      </c>
      <c r="F76" s="123">
        <f t="shared" si="96"/>
        <v>0</v>
      </c>
      <c r="G76" s="123">
        <f t="shared" si="97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71"/>
      <c r="AT76" s="337"/>
      <c r="AU76" s="121"/>
      <c r="AV76" s="121"/>
      <c r="AW76" s="155"/>
    </row>
    <row r="77" spans="1:49" s="31" customFormat="1" ht="12.75" customHeight="1">
      <c r="A77" s="365" t="s">
        <v>399</v>
      </c>
      <c r="B77" s="318" t="s">
        <v>295</v>
      </c>
      <c r="C77" s="321" t="s">
        <v>401</v>
      </c>
      <c r="D77" s="327" t="s">
        <v>402</v>
      </c>
      <c r="E77" s="107" t="s">
        <v>42</v>
      </c>
      <c r="F77" s="123">
        <f>SUM(F78:F80)</f>
        <v>8560.9000000000015</v>
      </c>
      <c r="G77" s="123">
        <f t="shared" ref="G77" si="98">SUM(G78:G80)</f>
        <v>0</v>
      </c>
      <c r="H77" s="123">
        <f>G77/F77*100</f>
        <v>0</v>
      </c>
      <c r="I77" s="132">
        <f t="shared" ref="I77:AP77" si="99">I78+I79+I80</f>
        <v>0</v>
      </c>
      <c r="J77" s="132">
        <f t="shared" si="99"/>
        <v>0</v>
      </c>
      <c r="K77" s="123">
        <v>0</v>
      </c>
      <c r="L77" s="132">
        <f t="shared" si="99"/>
        <v>2276.1</v>
      </c>
      <c r="M77" s="132">
        <f t="shared" si="99"/>
        <v>0</v>
      </c>
      <c r="N77" s="132">
        <f>M77/L77*100</f>
        <v>0</v>
      </c>
      <c r="O77" s="132">
        <f t="shared" si="99"/>
        <v>1934</v>
      </c>
      <c r="P77" s="132">
        <f t="shared" si="99"/>
        <v>0</v>
      </c>
      <c r="Q77" s="123">
        <f t="shared" si="79"/>
        <v>0</v>
      </c>
      <c r="R77" s="132">
        <f t="shared" si="99"/>
        <v>267.2</v>
      </c>
      <c r="S77" s="132">
        <f t="shared" si="99"/>
        <v>0</v>
      </c>
      <c r="T77" s="132">
        <f t="shared" si="88"/>
        <v>0</v>
      </c>
      <c r="U77" s="132">
        <f t="shared" si="99"/>
        <v>1159.2</v>
      </c>
      <c r="V77" s="132">
        <f t="shared" si="99"/>
        <v>0</v>
      </c>
      <c r="W77" s="138">
        <f t="shared" ref="W77" si="100">V77/U77*100</f>
        <v>0</v>
      </c>
      <c r="X77" s="132">
        <f t="shared" si="99"/>
        <v>1227.2</v>
      </c>
      <c r="Y77" s="132">
        <f t="shared" si="99"/>
        <v>0</v>
      </c>
      <c r="Z77" s="132">
        <f t="shared" si="99"/>
        <v>0</v>
      </c>
      <c r="AA77" s="132">
        <f t="shared" si="99"/>
        <v>1014.2</v>
      </c>
      <c r="AB77" s="132">
        <f t="shared" si="99"/>
        <v>0</v>
      </c>
      <c r="AC77" s="117">
        <f>AB77/AA77*100</f>
        <v>0</v>
      </c>
      <c r="AD77" s="132">
        <f t="shared" si="99"/>
        <v>89.2</v>
      </c>
      <c r="AE77" s="132">
        <f t="shared" si="99"/>
        <v>0</v>
      </c>
      <c r="AF77" s="104">
        <f t="shared" ref="AF77" si="101">AE77/AD77*100</f>
        <v>0</v>
      </c>
      <c r="AG77" s="132">
        <f t="shared" si="99"/>
        <v>139.19999999999999</v>
      </c>
      <c r="AH77" s="132">
        <f t="shared" si="99"/>
        <v>0</v>
      </c>
      <c r="AI77" s="104">
        <f t="shared" ref="AI77" si="102">AH77/AG77*100</f>
        <v>0</v>
      </c>
      <c r="AJ77" s="132">
        <f t="shared" si="99"/>
        <v>101.2</v>
      </c>
      <c r="AK77" s="132">
        <f t="shared" si="99"/>
        <v>0</v>
      </c>
      <c r="AL77" s="132">
        <f t="shared" si="99"/>
        <v>0</v>
      </c>
      <c r="AM77" s="132">
        <f t="shared" si="99"/>
        <v>104.2</v>
      </c>
      <c r="AN77" s="132">
        <f t="shared" si="99"/>
        <v>0</v>
      </c>
      <c r="AO77" s="132">
        <f t="shared" si="99"/>
        <v>0</v>
      </c>
      <c r="AP77" s="132">
        <f t="shared" si="99"/>
        <v>249.20000000000002</v>
      </c>
      <c r="AQ77" s="104"/>
      <c r="AR77" s="104"/>
      <c r="AS77" s="324" t="s">
        <v>320</v>
      </c>
      <c r="AT77" s="329"/>
      <c r="AU77" s="121">
        <f t="shared" si="46"/>
        <v>8106.2999999999993</v>
      </c>
      <c r="AV77" s="121">
        <f t="shared" si="47"/>
        <v>0</v>
      </c>
      <c r="AW77" s="155">
        <f t="shared" si="48"/>
        <v>0</v>
      </c>
    </row>
    <row r="78" spans="1:49" s="31" customFormat="1" ht="36">
      <c r="A78" s="366"/>
      <c r="B78" s="319"/>
      <c r="C78" s="322"/>
      <c r="D78" s="328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25"/>
      <c r="AT78" s="330"/>
      <c r="AU78" s="121"/>
      <c r="AV78" s="121"/>
      <c r="AW78" s="155"/>
    </row>
    <row r="79" spans="1:49" s="31" customFormat="1" ht="12.75">
      <c r="A79" s="366"/>
      <c r="B79" s="319"/>
      <c r="C79" s="322"/>
      <c r="D79" s="328"/>
      <c r="E79" s="108" t="s">
        <v>44</v>
      </c>
      <c r="F79" s="123">
        <f t="shared" ref="F79:F80" si="103">I79+L79+O79+R79+U79+X79+AA79+AD79+AG79+AJ79+AM79+AP79</f>
        <v>8560.9000000000015</v>
      </c>
      <c r="G79" s="123">
        <f t="shared" ref="G79:G80" si="104">J79+M79+P79+S79+V79+Y79+AB79+AE79+AH79+AK79+AN79+AQ79</f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105">M79/L79*100</f>
        <v>0</v>
      </c>
      <c r="O79" s="123">
        <f>1844+40+50</f>
        <v>1934</v>
      </c>
      <c r="P79" s="123">
        <v>0</v>
      </c>
      <c r="Q79" s="123">
        <f t="shared" si="79"/>
        <v>0</v>
      </c>
      <c r="R79" s="123">
        <f>229.2+38</f>
        <v>267.2</v>
      </c>
      <c r="S79" s="123">
        <v>0</v>
      </c>
      <c r="T79" s="138">
        <f t="shared" si="88"/>
        <v>0</v>
      </c>
      <c r="U79" s="117">
        <f>1129.2+30</f>
        <v>1159.2</v>
      </c>
      <c r="V79" s="117">
        <v>0</v>
      </c>
      <c r="W79" s="138">
        <f t="shared" ref="W79" si="106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107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25"/>
      <c r="AT79" s="330"/>
      <c r="AU79" s="121">
        <f t="shared" si="46"/>
        <v>8106.2999999999993</v>
      </c>
      <c r="AV79" s="121">
        <f t="shared" si="47"/>
        <v>0</v>
      </c>
      <c r="AW79" s="155">
        <f t="shared" si="48"/>
        <v>0</v>
      </c>
    </row>
    <row r="80" spans="1:49" s="31" customFormat="1" ht="24">
      <c r="A80" s="367"/>
      <c r="B80" s="320"/>
      <c r="C80" s="323"/>
      <c r="D80" s="334"/>
      <c r="E80" s="109" t="s">
        <v>257</v>
      </c>
      <c r="F80" s="123">
        <f t="shared" si="103"/>
        <v>0</v>
      </c>
      <c r="G80" s="123">
        <f t="shared" si="104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26"/>
      <c r="AT80" s="368"/>
      <c r="AU80" s="121"/>
      <c r="AV80" s="121"/>
      <c r="AW80" s="155"/>
    </row>
    <row r="81" spans="1:48" s="100" customFormat="1" ht="12.75" customHeight="1">
      <c r="A81" s="373" t="s">
        <v>256</v>
      </c>
      <c r="B81" s="374"/>
      <c r="C81" s="374"/>
      <c r="D81" s="375"/>
      <c r="E81" s="110" t="s">
        <v>42</v>
      </c>
      <c r="F81" s="106">
        <f>F82+F83+F84</f>
        <v>433024.19999999995</v>
      </c>
      <c r="G81" s="106">
        <f t="shared" ref="G81:AP81" si="108">G82+G83+G84</f>
        <v>0</v>
      </c>
      <c r="H81" s="106">
        <f>G81/F81*100</f>
        <v>0</v>
      </c>
      <c r="I81" s="106">
        <f t="shared" si="108"/>
        <v>14819.3</v>
      </c>
      <c r="J81" s="106">
        <f t="shared" si="108"/>
        <v>0</v>
      </c>
      <c r="K81" s="106">
        <f>J81/I81*100</f>
        <v>0</v>
      </c>
      <c r="L81" s="106">
        <f t="shared" si="108"/>
        <v>45743.000000000007</v>
      </c>
      <c r="M81" s="106">
        <f t="shared" si="108"/>
        <v>0</v>
      </c>
      <c r="N81" s="106">
        <f>M81/L81*100</f>
        <v>0</v>
      </c>
      <c r="O81" s="106">
        <f t="shared" si="108"/>
        <v>37909.200000000004</v>
      </c>
      <c r="P81" s="106">
        <f t="shared" si="108"/>
        <v>0</v>
      </c>
      <c r="Q81" s="106">
        <f>P81/O81*100</f>
        <v>0</v>
      </c>
      <c r="R81" s="106">
        <f t="shared" si="108"/>
        <v>43738.3</v>
      </c>
      <c r="S81" s="106">
        <f t="shared" si="108"/>
        <v>0</v>
      </c>
      <c r="T81" s="106">
        <f>S81/R81*100</f>
        <v>0</v>
      </c>
      <c r="U81" s="106">
        <f t="shared" si="108"/>
        <v>35345.399999999994</v>
      </c>
      <c r="V81" s="106">
        <f t="shared" si="108"/>
        <v>0</v>
      </c>
      <c r="W81" s="106">
        <f t="shared" si="108"/>
        <v>0</v>
      </c>
      <c r="X81" s="106">
        <f t="shared" si="108"/>
        <v>38689.799999999996</v>
      </c>
      <c r="Y81" s="106">
        <f t="shared" si="108"/>
        <v>0</v>
      </c>
      <c r="Z81" s="106" t="e">
        <f t="shared" si="108"/>
        <v>#REF!</v>
      </c>
      <c r="AA81" s="106">
        <f t="shared" si="108"/>
        <v>50633.4</v>
      </c>
      <c r="AB81" s="106">
        <f t="shared" si="108"/>
        <v>0</v>
      </c>
      <c r="AC81" s="106" t="e">
        <f t="shared" si="108"/>
        <v>#REF!</v>
      </c>
      <c r="AD81" s="106">
        <f t="shared" si="108"/>
        <v>36461.199999999997</v>
      </c>
      <c r="AE81" s="106">
        <f t="shared" si="108"/>
        <v>0</v>
      </c>
      <c r="AF81" s="103">
        <f t="shared" ref="AF81:AF84" si="109">AE81/AD81*100</f>
        <v>0</v>
      </c>
      <c r="AG81" s="106">
        <f t="shared" si="108"/>
        <v>28451.69999999999</v>
      </c>
      <c r="AH81" s="106">
        <f t="shared" si="108"/>
        <v>0</v>
      </c>
      <c r="AI81" s="106" t="e">
        <f t="shared" si="108"/>
        <v>#REF!</v>
      </c>
      <c r="AJ81" s="106">
        <f t="shared" si="108"/>
        <v>24958.799999999999</v>
      </c>
      <c r="AK81" s="106">
        <f t="shared" si="108"/>
        <v>0</v>
      </c>
      <c r="AL81" s="106" t="e">
        <f t="shared" si="108"/>
        <v>#REF!</v>
      </c>
      <c r="AM81" s="106">
        <f t="shared" si="108"/>
        <v>25565.599999999995</v>
      </c>
      <c r="AN81" s="106">
        <f t="shared" si="108"/>
        <v>0</v>
      </c>
      <c r="AO81" s="106" t="e">
        <f t="shared" si="108"/>
        <v>#REF!</v>
      </c>
      <c r="AP81" s="106">
        <f t="shared" si="108"/>
        <v>50708.5</v>
      </c>
      <c r="AQ81" s="103">
        <f t="shared" ref="AQ81:AR81" si="110">SUM(AQ82:AQ84)</f>
        <v>0</v>
      </c>
      <c r="AR81" s="103" t="e">
        <f t="shared" si="110"/>
        <v>#REF!</v>
      </c>
      <c r="AS81" s="309"/>
      <c r="AT81" s="382"/>
      <c r="AU81" s="121"/>
      <c r="AV81" s="127"/>
    </row>
    <row r="82" spans="1:48" s="100" customFormat="1" ht="36">
      <c r="A82" s="376"/>
      <c r="B82" s="377"/>
      <c r="C82" s="377"/>
      <c r="D82" s="378"/>
      <c r="E82" s="111" t="s">
        <v>3</v>
      </c>
      <c r="F82" s="106">
        <f t="shared" ref="F82:G84" si="111">F10+F34+F49+F63</f>
        <v>124591.59999999998</v>
      </c>
      <c r="G82" s="106">
        <f t="shared" si="111"/>
        <v>0</v>
      </c>
      <c r="H82" s="106">
        <f>G82/F82*100</f>
        <v>0</v>
      </c>
      <c r="I82" s="106">
        <f t="shared" ref="I82:J84" si="112">I10+I34+I49+I63</f>
        <v>949.6</v>
      </c>
      <c r="J82" s="106">
        <f t="shared" si="112"/>
        <v>0</v>
      </c>
      <c r="K82" s="106">
        <f t="shared" ref="K82:K84" si="113">J82/I82*100</f>
        <v>0</v>
      </c>
      <c r="L82" s="106">
        <f t="shared" ref="L82:M84" si="114">L10+L34+L49+L63</f>
        <v>8876.4</v>
      </c>
      <c r="M82" s="106">
        <f t="shared" si="114"/>
        <v>0</v>
      </c>
      <c r="N82" s="106">
        <f t="shared" ref="N82:N84" si="115">M82/L82*100</f>
        <v>0</v>
      </c>
      <c r="O82" s="106">
        <f t="shared" ref="O82:P84" si="116">O10+O34+O49+O63</f>
        <v>9349.1999999999989</v>
      </c>
      <c r="P82" s="106">
        <f t="shared" si="116"/>
        <v>0</v>
      </c>
      <c r="Q82" s="106">
        <f t="shared" ref="Q82:Q84" si="117">P82/O82*100</f>
        <v>0</v>
      </c>
      <c r="R82" s="106">
        <f t="shared" ref="R82:S84" si="118">R10+R34+R49+R63</f>
        <v>10145.4</v>
      </c>
      <c r="S82" s="106">
        <f t="shared" si="118"/>
        <v>0</v>
      </c>
      <c r="T82" s="106">
        <f t="shared" ref="T82:T84" si="119">S82/R82*100</f>
        <v>0</v>
      </c>
      <c r="U82" s="106">
        <f t="shared" ref="U82:AE82" si="120">U10+U34+U49+U63</f>
        <v>8496.3999999999978</v>
      </c>
      <c r="V82" s="106">
        <f t="shared" si="120"/>
        <v>0</v>
      </c>
      <c r="W82" s="106">
        <f t="shared" si="120"/>
        <v>0</v>
      </c>
      <c r="X82" s="106">
        <f t="shared" si="120"/>
        <v>10177.699999999999</v>
      </c>
      <c r="Y82" s="106">
        <f t="shared" si="120"/>
        <v>0</v>
      </c>
      <c r="Z82" s="106" t="e">
        <f t="shared" si="120"/>
        <v>#REF!</v>
      </c>
      <c r="AA82" s="106">
        <f t="shared" si="120"/>
        <v>11495.900000000001</v>
      </c>
      <c r="AB82" s="106">
        <f t="shared" si="120"/>
        <v>0</v>
      </c>
      <c r="AC82" s="106" t="e">
        <f t="shared" si="120"/>
        <v>#REF!</v>
      </c>
      <c r="AD82" s="106">
        <f t="shared" si="120"/>
        <v>11156.3</v>
      </c>
      <c r="AE82" s="106">
        <f t="shared" si="120"/>
        <v>0</v>
      </c>
      <c r="AF82" s="103">
        <f t="shared" si="109"/>
        <v>0</v>
      </c>
      <c r="AG82" s="106">
        <f t="shared" ref="AG82:AR82" si="121">AG10+AG34+AG49+AG63</f>
        <v>9422.9</v>
      </c>
      <c r="AH82" s="106">
        <f t="shared" si="121"/>
        <v>0</v>
      </c>
      <c r="AI82" s="106" t="e">
        <f t="shared" si="121"/>
        <v>#REF!</v>
      </c>
      <c r="AJ82" s="106">
        <f t="shared" si="121"/>
        <v>9978.1999999999989</v>
      </c>
      <c r="AK82" s="106">
        <f t="shared" si="121"/>
        <v>0</v>
      </c>
      <c r="AL82" s="106" t="e">
        <f t="shared" si="121"/>
        <v>#REF!</v>
      </c>
      <c r="AM82" s="106">
        <f t="shared" si="121"/>
        <v>8872.0999999999985</v>
      </c>
      <c r="AN82" s="106">
        <f t="shared" si="121"/>
        <v>0</v>
      </c>
      <c r="AO82" s="106" t="e">
        <f t="shared" si="121"/>
        <v>#REF!</v>
      </c>
      <c r="AP82" s="106">
        <f t="shared" si="121"/>
        <v>25671.5</v>
      </c>
      <c r="AQ82" s="106">
        <f t="shared" si="121"/>
        <v>0</v>
      </c>
      <c r="AR82" s="106" t="e">
        <f t="shared" si="121"/>
        <v>#REF!</v>
      </c>
      <c r="AS82" s="310"/>
      <c r="AT82" s="383"/>
      <c r="AU82" s="121"/>
      <c r="AV82" s="127"/>
    </row>
    <row r="83" spans="1:48" s="100" customFormat="1" ht="24">
      <c r="A83" s="376"/>
      <c r="B83" s="377"/>
      <c r="C83" s="377"/>
      <c r="D83" s="378"/>
      <c r="E83" s="111" t="s">
        <v>44</v>
      </c>
      <c r="F83" s="106">
        <f t="shared" si="111"/>
        <v>302600.5</v>
      </c>
      <c r="G83" s="106">
        <f t="shared" si="111"/>
        <v>0</v>
      </c>
      <c r="H83" s="106">
        <f>G83/F83*100</f>
        <v>0</v>
      </c>
      <c r="I83" s="106">
        <f t="shared" si="112"/>
        <v>13607.9</v>
      </c>
      <c r="J83" s="106">
        <f t="shared" si="112"/>
        <v>0</v>
      </c>
      <c r="K83" s="106">
        <f t="shared" si="113"/>
        <v>0</v>
      </c>
      <c r="L83" s="106">
        <f t="shared" si="114"/>
        <v>36530.100000000006</v>
      </c>
      <c r="M83" s="106">
        <f t="shared" si="114"/>
        <v>0</v>
      </c>
      <c r="N83" s="106">
        <f t="shared" si="115"/>
        <v>0</v>
      </c>
      <c r="O83" s="106">
        <f t="shared" si="116"/>
        <v>27748.7</v>
      </c>
      <c r="P83" s="106">
        <f t="shared" si="116"/>
        <v>0</v>
      </c>
      <c r="Q83" s="106">
        <f t="shared" si="117"/>
        <v>0</v>
      </c>
      <c r="R83" s="106">
        <f t="shared" si="118"/>
        <v>32852.300000000003</v>
      </c>
      <c r="S83" s="106">
        <f t="shared" si="118"/>
        <v>0</v>
      </c>
      <c r="T83" s="106">
        <f t="shared" si="119"/>
        <v>0</v>
      </c>
      <c r="U83" s="106">
        <f t="shared" ref="U83:AE83" si="122">U11+U35+U50+U64</f>
        <v>26369.299999999996</v>
      </c>
      <c r="V83" s="106">
        <f t="shared" si="122"/>
        <v>0</v>
      </c>
      <c r="W83" s="106">
        <f t="shared" si="122"/>
        <v>0</v>
      </c>
      <c r="X83" s="106">
        <f t="shared" si="122"/>
        <v>28159.299999999992</v>
      </c>
      <c r="Y83" s="106">
        <f t="shared" si="122"/>
        <v>0</v>
      </c>
      <c r="Z83" s="106" t="e">
        <f t="shared" si="122"/>
        <v>#REF!</v>
      </c>
      <c r="AA83" s="106">
        <f t="shared" si="122"/>
        <v>38312</v>
      </c>
      <c r="AB83" s="106">
        <f t="shared" si="122"/>
        <v>0</v>
      </c>
      <c r="AC83" s="106" t="e">
        <f t="shared" si="122"/>
        <v>#REF!</v>
      </c>
      <c r="AD83" s="106">
        <f t="shared" si="122"/>
        <v>24785.899999999998</v>
      </c>
      <c r="AE83" s="106">
        <f t="shared" si="122"/>
        <v>0</v>
      </c>
      <c r="AF83" s="106">
        <f t="shared" si="109"/>
        <v>0</v>
      </c>
      <c r="AG83" s="106">
        <f t="shared" ref="AG83:AR83" si="123">AG11+AG35+AG50+AG64</f>
        <v>18727.199999999993</v>
      </c>
      <c r="AH83" s="106">
        <f t="shared" si="123"/>
        <v>0</v>
      </c>
      <c r="AI83" s="106" t="e">
        <f t="shared" si="123"/>
        <v>#REF!</v>
      </c>
      <c r="AJ83" s="106">
        <f t="shared" si="123"/>
        <v>14416.000000000002</v>
      </c>
      <c r="AK83" s="106">
        <f t="shared" si="123"/>
        <v>0</v>
      </c>
      <c r="AL83" s="106" t="e">
        <f t="shared" si="123"/>
        <v>#REF!</v>
      </c>
      <c r="AM83" s="106">
        <f t="shared" si="123"/>
        <v>16251.799999999997</v>
      </c>
      <c r="AN83" s="106">
        <f t="shared" si="123"/>
        <v>0</v>
      </c>
      <c r="AO83" s="106" t="e">
        <f t="shared" si="123"/>
        <v>#REF!</v>
      </c>
      <c r="AP83" s="106">
        <f t="shared" si="123"/>
        <v>24839.999999999996</v>
      </c>
      <c r="AQ83" s="106">
        <f t="shared" si="123"/>
        <v>0</v>
      </c>
      <c r="AR83" s="106" t="e">
        <f t="shared" si="123"/>
        <v>#REF!</v>
      </c>
      <c r="AS83" s="310"/>
      <c r="AT83" s="383"/>
      <c r="AU83" s="121"/>
      <c r="AV83" s="127"/>
    </row>
    <row r="84" spans="1:48" s="100" customFormat="1" ht="24">
      <c r="A84" s="379"/>
      <c r="B84" s="380"/>
      <c r="C84" s="380"/>
      <c r="D84" s="381"/>
      <c r="E84" s="110" t="s">
        <v>257</v>
      </c>
      <c r="F84" s="106">
        <f t="shared" si="111"/>
        <v>5832.1</v>
      </c>
      <c r="G84" s="106">
        <f t="shared" si="111"/>
        <v>0</v>
      </c>
      <c r="H84" s="106">
        <f>G84/F84*100</f>
        <v>0</v>
      </c>
      <c r="I84" s="106">
        <f t="shared" si="112"/>
        <v>261.8</v>
      </c>
      <c r="J84" s="106">
        <f t="shared" si="112"/>
        <v>0</v>
      </c>
      <c r="K84" s="106">
        <f t="shared" si="113"/>
        <v>0</v>
      </c>
      <c r="L84" s="106">
        <f t="shared" si="114"/>
        <v>336.5</v>
      </c>
      <c r="M84" s="106">
        <f t="shared" si="114"/>
        <v>0</v>
      </c>
      <c r="N84" s="106">
        <f t="shared" si="115"/>
        <v>0</v>
      </c>
      <c r="O84" s="106">
        <f t="shared" si="116"/>
        <v>811.3</v>
      </c>
      <c r="P84" s="106">
        <f t="shared" si="116"/>
        <v>0</v>
      </c>
      <c r="Q84" s="106">
        <f t="shared" si="117"/>
        <v>0</v>
      </c>
      <c r="R84" s="106">
        <f t="shared" si="118"/>
        <v>740.6</v>
      </c>
      <c r="S84" s="106">
        <f t="shared" si="118"/>
        <v>0</v>
      </c>
      <c r="T84" s="106">
        <f t="shared" si="119"/>
        <v>0</v>
      </c>
      <c r="U84" s="106">
        <f t="shared" ref="U84:AE84" si="124">U12+U36+U51+U65</f>
        <v>479.7</v>
      </c>
      <c r="V84" s="106">
        <f t="shared" si="124"/>
        <v>0</v>
      </c>
      <c r="W84" s="106">
        <f t="shared" si="124"/>
        <v>0</v>
      </c>
      <c r="X84" s="106">
        <f t="shared" si="124"/>
        <v>352.8</v>
      </c>
      <c r="Y84" s="106">
        <f t="shared" si="124"/>
        <v>0</v>
      </c>
      <c r="Z84" s="106" t="e">
        <f t="shared" si="124"/>
        <v>#REF!</v>
      </c>
      <c r="AA84" s="106">
        <f t="shared" si="124"/>
        <v>825.5</v>
      </c>
      <c r="AB84" s="106">
        <f t="shared" si="124"/>
        <v>0</v>
      </c>
      <c r="AC84" s="106" t="e">
        <f t="shared" si="124"/>
        <v>#REF!</v>
      </c>
      <c r="AD84" s="106">
        <f t="shared" si="124"/>
        <v>519</v>
      </c>
      <c r="AE84" s="106">
        <f t="shared" si="124"/>
        <v>0</v>
      </c>
      <c r="AF84" s="106">
        <f t="shared" si="109"/>
        <v>0</v>
      </c>
      <c r="AG84" s="106">
        <f t="shared" ref="AG84:AR84" si="125">AG12+AG36+AG51+AG65</f>
        <v>301.60000000000002</v>
      </c>
      <c r="AH84" s="106">
        <f t="shared" si="125"/>
        <v>0</v>
      </c>
      <c r="AI84" s="106" t="e">
        <f t="shared" si="125"/>
        <v>#REF!</v>
      </c>
      <c r="AJ84" s="106">
        <f t="shared" si="125"/>
        <v>564.6</v>
      </c>
      <c r="AK84" s="106">
        <f t="shared" si="125"/>
        <v>0</v>
      </c>
      <c r="AL84" s="106" t="e">
        <f t="shared" si="125"/>
        <v>#REF!</v>
      </c>
      <c r="AM84" s="106">
        <f t="shared" si="125"/>
        <v>441.7</v>
      </c>
      <c r="AN84" s="106">
        <f t="shared" si="125"/>
        <v>0</v>
      </c>
      <c r="AO84" s="106" t="e">
        <f t="shared" si="125"/>
        <v>#REF!</v>
      </c>
      <c r="AP84" s="106">
        <f t="shared" si="125"/>
        <v>197</v>
      </c>
      <c r="AQ84" s="106">
        <f t="shared" si="125"/>
        <v>0</v>
      </c>
      <c r="AR84" s="106" t="e">
        <f t="shared" si="125"/>
        <v>#REF!</v>
      </c>
      <c r="AS84" s="311"/>
      <c r="AT84" s="384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85"/>
      <c r="C86" s="385"/>
      <c r="D86" s="385"/>
      <c r="E86" s="386"/>
      <c r="F86" s="387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72" t="s">
        <v>282</v>
      </c>
      <c r="B88" s="372"/>
      <c r="C88" s="372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72" t="s">
        <v>283</v>
      </c>
      <c r="B89" s="372"/>
      <c r="C89" s="372"/>
      <c r="D89" s="372"/>
      <c r="E89" s="372"/>
      <c r="F89" s="372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72"/>
      <c r="B90" s="372"/>
      <c r="C90" s="372"/>
      <c r="D90" s="372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72"/>
      <c r="B92" s="372"/>
      <c r="C92" s="372"/>
      <c r="D92" s="372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72" t="s">
        <v>290</v>
      </c>
      <c r="B96" s="372"/>
      <c r="C96" s="372"/>
      <c r="D96" s="372"/>
      <c r="AS96" s="131"/>
    </row>
    <row r="97" spans="1:45">
      <c r="A97" s="372" t="s">
        <v>291</v>
      </c>
      <c r="B97" s="372"/>
      <c r="C97" s="372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</mergeCells>
  <conditionalFormatting sqref="H91 H69:H80 H56:H59 H48:H51 H42:H45 H30:H31 H27:H28 H24 H14 H19">
    <cfRule type="cellIs" dxfId="3" priority="2" stopIfTrue="1" operator="notEqual">
      <formula>#REF!</formula>
    </cfRule>
  </conditionalFormatting>
  <pageMargins left="0.70866141732283472" right="0.11811023622047245" top="0.31496062992125984" bottom="0.23622047244094491" header="0.31496062992125984" footer="0.31496062992125984"/>
  <pageSetup paperSize="9" scale="58" fitToHeight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U9" activePane="bottomRight" state="frozen"/>
      <selection pane="topRight" activeCell="E1" sqref="E1"/>
      <selection pane="bottomLeft" activeCell="A9" sqref="A9"/>
      <selection pane="bottomRight" activeCell="R80" sqref="R80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290" t="s">
        <v>403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173"/>
    </row>
    <row r="3" spans="1:49" s="118" customFormat="1" ht="15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174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25.5" customHeight="1">
      <c r="A5" s="292" t="s">
        <v>0</v>
      </c>
      <c r="B5" s="292" t="s">
        <v>261</v>
      </c>
      <c r="C5" s="293" t="s">
        <v>47</v>
      </c>
      <c r="D5" s="293" t="s">
        <v>262</v>
      </c>
      <c r="E5" s="292" t="s">
        <v>1</v>
      </c>
      <c r="F5" s="292" t="s">
        <v>263</v>
      </c>
      <c r="G5" s="292"/>
      <c r="H5" s="292"/>
      <c r="I5" s="292" t="s">
        <v>18</v>
      </c>
      <c r="J5" s="292"/>
      <c r="K5" s="292"/>
      <c r="L5" s="292" t="s">
        <v>19</v>
      </c>
      <c r="M5" s="292"/>
      <c r="N5" s="292"/>
      <c r="O5" s="292" t="s">
        <v>23</v>
      </c>
      <c r="P5" s="292"/>
      <c r="Q5" s="292"/>
      <c r="R5" s="292" t="s">
        <v>25</v>
      </c>
      <c r="S5" s="292"/>
      <c r="T5" s="292"/>
      <c r="U5" s="292" t="s">
        <v>26</v>
      </c>
      <c r="V5" s="292"/>
      <c r="W5" s="292"/>
      <c r="X5" s="292" t="s">
        <v>27</v>
      </c>
      <c r="Y5" s="292"/>
      <c r="Z5" s="292"/>
      <c r="AA5" s="292" t="s">
        <v>29</v>
      </c>
      <c r="AB5" s="292"/>
      <c r="AC5" s="292"/>
      <c r="AD5" s="292" t="s">
        <v>30</v>
      </c>
      <c r="AE5" s="292"/>
      <c r="AF5" s="292"/>
      <c r="AG5" s="292" t="s">
        <v>31</v>
      </c>
      <c r="AH5" s="292"/>
      <c r="AI5" s="292"/>
      <c r="AJ5" s="292" t="s">
        <v>33</v>
      </c>
      <c r="AK5" s="292"/>
      <c r="AL5" s="292"/>
      <c r="AM5" s="292" t="s">
        <v>34</v>
      </c>
      <c r="AN5" s="292"/>
      <c r="AO5" s="292"/>
      <c r="AP5" s="292" t="s">
        <v>35</v>
      </c>
      <c r="AQ5" s="292"/>
      <c r="AR5" s="292"/>
      <c r="AS5" s="295" t="s">
        <v>273</v>
      </c>
      <c r="AT5" s="296" t="s">
        <v>274</v>
      </c>
      <c r="AU5" s="32"/>
      <c r="AV5" s="32"/>
    </row>
    <row r="6" spans="1:49" s="31" customFormat="1" ht="25.5">
      <c r="A6" s="292"/>
      <c r="B6" s="292"/>
      <c r="C6" s="294"/>
      <c r="D6" s="294"/>
      <c r="E6" s="292"/>
      <c r="F6" s="175" t="s">
        <v>264</v>
      </c>
      <c r="G6" s="175" t="s">
        <v>265</v>
      </c>
      <c r="H6" s="128" t="s">
        <v>266</v>
      </c>
      <c r="I6" s="175" t="s">
        <v>264</v>
      </c>
      <c r="J6" s="175" t="s">
        <v>265</v>
      </c>
      <c r="K6" s="128" t="s">
        <v>266</v>
      </c>
      <c r="L6" s="175" t="s">
        <v>264</v>
      </c>
      <c r="M6" s="175" t="s">
        <v>265</v>
      </c>
      <c r="N6" s="128" t="s">
        <v>266</v>
      </c>
      <c r="O6" s="175" t="s">
        <v>264</v>
      </c>
      <c r="P6" s="175" t="s">
        <v>265</v>
      </c>
      <c r="Q6" s="128" t="s">
        <v>266</v>
      </c>
      <c r="R6" s="175" t="s">
        <v>264</v>
      </c>
      <c r="S6" s="175" t="s">
        <v>265</v>
      </c>
      <c r="T6" s="128" t="s">
        <v>266</v>
      </c>
      <c r="U6" s="175" t="s">
        <v>264</v>
      </c>
      <c r="V6" s="175" t="s">
        <v>265</v>
      </c>
      <c r="W6" s="128" t="s">
        <v>266</v>
      </c>
      <c r="X6" s="175" t="s">
        <v>264</v>
      </c>
      <c r="Y6" s="175" t="s">
        <v>265</v>
      </c>
      <c r="Z6" s="128" t="s">
        <v>266</v>
      </c>
      <c r="AA6" s="175" t="s">
        <v>264</v>
      </c>
      <c r="AB6" s="175" t="s">
        <v>265</v>
      </c>
      <c r="AC6" s="128" t="s">
        <v>266</v>
      </c>
      <c r="AD6" s="175" t="s">
        <v>264</v>
      </c>
      <c r="AE6" s="175" t="s">
        <v>265</v>
      </c>
      <c r="AF6" s="128" t="s">
        <v>266</v>
      </c>
      <c r="AG6" s="175" t="s">
        <v>264</v>
      </c>
      <c r="AH6" s="175" t="s">
        <v>265</v>
      </c>
      <c r="AI6" s="128" t="s">
        <v>266</v>
      </c>
      <c r="AJ6" s="175" t="s">
        <v>264</v>
      </c>
      <c r="AK6" s="175" t="s">
        <v>265</v>
      </c>
      <c r="AL6" s="128" t="s">
        <v>266</v>
      </c>
      <c r="AM6" s="175" t="s">
        <v>264</v>
      </c>
      <c r="AN6" s="175" t="s">
        <v>265</v>
      </c>
      <c r="AO6" s="128" t="s">
        <v>266</v>
      </c>
      <c r="AP6" s="175" t="s">
        <v>264</v>
      </c>
      <c r="AQ6" s="175" t="s">
        <v>265</v>
      </c>
      <c r="AR6" s="128" t="s">
        <v>266</v>
      </c>
      <c r="AS6" s="295"/>
      <c r="AT6" s="296"/>
    </row>
    <row r="7" spans="1:49" s="31" customFormat="1" ht="15.75">
      <c r="A7" s="297" t="s">
        <v>322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9"/>
    </row>
    <row r="8" spans="1:49" s="31" customFormat="1" ht="15.75">
      <c r="A8" s="297" t="s">
        <v>294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9"/>
    </row>
    <row r="9" spans="1:49" s="100" customFormat="1" ht="12.75">
      <c r="A9" s="300" t="s">
        <v>267</v>
      </c>
      <c r="B9" s="301"/>
      <c r="C9" s="301"/>
      <c r="D9" s="302"/>
      <c r="E9" s="129" t="s">
        <v>42</v>
      </c>
      <c r="F9" s="106">
        <f>F10+F11+F12</f>
        <v>387855.89999999991</v>
      </c>
      <c r="G9" s="106">
        <f t="shared" ref="G9:AP9" si="0">G10+G11+G12</f>
        <v>24711</v>
      </c>
      <c r="H9" s="106">
        <f>G9/F9*100</f>
        <v>6.3711806369324293</v>
      </c>
      <c r="I9" s="106">
        <f t="shared" si="0"/>
        <v>14386.5</v>
      </c>
      <c r="J9" s="106">
        <f t="shared" si="0"/>
        <v>24711</v>
      </c>
      <c r="K9" s="106">
        <f>J9/I9*100</f>
        <v>171.76519653842143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33490.6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34470.699999999997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43652.299999999996</v>
      </c>
      <c r="AQ9" s="106" t="e">
        <f>#REF!+#REF!</f>
        <v>#REF!</v>
      </c>
      <c r="AR9" s="106" t="e">
        <f>#REF!+#REF!</f>
        <v>#REF!</v>
      </c>
      <c r="AS9" s="309"/>
      <c r="AT9" s="312"/>
      <c r="AU9" s="127"/>
    </row>
    <row r="10" spans="1:49" s="100" customFormat="1" ht="36">
      <c r="A10" s="303"/>
      <c r="B10" s="304"/>
      <c r="C10" s="304"/>
      <c r="D10" s="305"/>
      <c r="E10" s="111" t="s">
        <v>3</v>
      </c>
      <c r="F10" s="106">
        <f>F14+F18+F23+F26+F30</f>
        <v>93990.699999999983</v>
      </c>
      <c r="G10" s="106">
        <f>G14+G18+G23+G26+G30</f>
        <v>924.5</v>
      </c>
      <c r="H10" s="106">
        <f>G10/F10*100</f>
        <v>0.98360795270170365</v>
      </c>
      <c r="I10" s="106">
        <f>I14+I18+I23+I26+I30</f>
        <v>949.99999999999989</v>
      </c>
      <c r="J10" s="106">
        <f>J14+J18+J23+J26+J30</f>
        <v>924.5</v>
      </c>
      <c r="K10" s="106">
        <f t="shared" ref="K10:K12" si="1">J10/I10*100</f>
        <v>97.31578947368422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7444.7999999999993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19660.599999999999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0"/>
      <c r="AT10" s="313"/>
      <c r="AU10" s="127"/>
    </row>
    <row r="11" spans="1:49" s="100" customFormat="1" ht="24">
      <c r="A11" s="303"/>
      <c r="B11" s="304"/>
      <c r="C11" s="304"/>
      <c r="D11" s="305"/>
      <c r="E11" s="111" t="s">
        <v>44</v>
      </c>
      <c r="F11" s="106">
        <f>F15+F19+F24+F27+F31</f>
        <v>288033.09999999998</v>
      </c>
      <c r="G11" s="106">
        <f>G15+G19+G24+G27+G31</f>
        <v>23786.5</v>
      </c>
      <c r="H11" s="106">
        <f>G11/F11*100</f>
        <v>8.2582522633683428</v>
      </c>
      <c r="I11" s="106">
        <f>I15+I19+I24+I27+I31</f>
        <v>13174.7</v>
      </c>
      <c r="J11" s="106">
        <f>J15+J19+J24+J27+J31</f>
        <v>23786.5</v>
      </c>
      <c r="K11" s="106">
        <f t="shared" si="1"/>
        <v>180.54680561986228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26518.199999999997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0"/>
      <c r="AT11" s="313"/>
      <c r="AU11" s="127"/>
    </row>
    <row r="12" spans="1:49" s="100" customFormat="1" ht="24">
      <c r="A12" s="306"/>
      <c r="B12" s="307"/>
      <c r="C12" s="307"/>
      <c r="D12" s="308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1"/>
      <c r="AT12" s="314"/>
      <c r="AU12" s="127"/>
    </row>
    <row r="13" spans="1:49" s="31" customFormat="1" ht="12.75">
      <c r="A13" s="315" t="s">
        <v>323</v>
      </c>
      <c r="B13" s="318" t="s">
        <v>324</v>
      </c>
      <c r="C13" s="321" t="s">
        <v>325</v>
      </c>
      <c r="D13" s="321" t="s">
        <v>326</v>
      </c>
      <c r="E13" s="107" t="s">
        <v>42</v>
      </c>
      <c r="F13" s="104">
        <f>SUM(F14:F16)</f>
        <v>300702.99999999994</v>
      </c>
      <c r="G13" s="123">
        <f t="shared" ref="G13:P13" si="7">SUM(G14:G16)</f>
        <v>18204.3</v>
      </c>
      <c r="H13" s="123">
        <f>G13/F13*100</f>
        <v>6.053913662317969</v>
      </c>
      <c r="I13" s="123">
        <f t="shared" si="7"/>
        <v>6660.1</v>
      </c>
      <c r="J13" s="123">
        <f t="shared" si="7"/>
        <v>18204.3</v>
      </c>
      <c r="K13" s="123">
        <f>J13/I13*100</f>
        <v>273.33373372772178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26037.399999999998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26537.299999999996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36594.6</v>
      </c>
      <c r="AQ13" s="123">
        <f t="shared" si="8"/>
        <v>0</v>
      </c>
      <c r="AR13" s="123">
        <f t="shared" si="8"/>
        <v>0</v>
      </c>
      <c r="AS13" s="324" t="s">
        <v>309</v>
      </c>
      <c r="AT13" s="331" t="s">
        <v>308</v>
      </c>
      <c r="AU13" s="121"/>
      <c r="AV13" s="121"/>
      <c r="AW13" s="155"/>
    </row>
    <row r="14" spans="1:49" s="31" customFormat="1" ht="36">
      <c r="A14" s="316"/>
      <c r="B14" s="319"/>
      <c r="C14" s="322"/>
      <c r="D14" s="322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826.6</v>
      </c>
      <c r="H14" s="123">
        <v>0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0</v>
      </c>
      <c r="N14" s="123">
        <v>0</v>
      </c>
      <c r="O14" s="123">
        <f>5300+79.4+1165.4-6.3+184.6</f>
        <v>6723.0999999999995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</f>
        <v>19440.599999999999</v>
      </c>
      <c r="AQ14" s="123"/>
      <c r="AR14" s="123"/>
      <c r="AS14" s="325"/>
      <c r="AT14" s="332"/>
      <c r="AU14" s="121"/>
      <c r="AV14" s="121"/>
      <c r="AW14" s="155"/>
    </row>
    <row r="15" spans="1:49" s="31" customFormat="1" ht="12.75">
      <c r="A15" s="316"/>
      <c r="B15" s="319"/>
      <c r="C15" s="322"/>
      <c r="D15" s="322"/>
      <c r="E15" s="108" t="s">
        <v>44</v>
      </c>
      <c r="F15" s="123">
        <f t="shared" ref="F15:G16" si="9">I15+L15+O15+R15+U15+X15+AA15+AD15+AG15+AJ15+AM15+AP15</f>
        <v>203427.59999999998</v>
      </c>
      <c r="G15" s="123">
        <f t="shared" si="9"/>
        <v>17377.7</v>
      </c>
      <c r="H15" s="123">
        <f>G15/F15*100</f>
        <v>8.5424495004610996</v>
      </c>
      <c r="I15" s="123">
        <f>40+428.8+4937+6.7+13+122.8</f>
        <v>5548.3</v>
      </c>
      <c r="J15" s="123">
        <v>17377.7</v>
      </c>
      <c r="K15" s="123">
        <f>J15/I15*100</f>
        <v>313.20764918984196</v>
      </c>
      <c r="L15" s="123">
        <f>517.2+2195.7+21252+496.8+361.9+645.7</f>
        <v>25469.300000000003</v>
      </c>
      <c r="M15" s="123">
        <v>0</v>
      </c>
      <c r="N15" s="123">
        <f t="shared" ref="N15:N22" si="10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1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2">S15/R15*100</f>
        <v>0</v>
      </c>
      <c r="U15" s="117">
        <f>114.6+1286.2+14324.5+500+499.1+290.4+293</f>
        <v>17307.8</v>
      </c>
      <c r="V15" s="117">
        <v>0</v>
      </c>
      <c r="W15" s="123">
        <f t="shared" ref="W15" si="13">V15/U15*100</f>
        <v>0</v>
      </c>
      <c r="X15" s="117">
        <f>334.2+1608.2+15696.6+500+535.6+174.6-0.2-122.8</f>
        <v>18726.199999999997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25"/>
      <c r="AT15" s="332"/>
      <c r="AU15" s="121"/>
      <c r="AV15" s="121"/>
      <c r="AW15" s="155"/>
    </row>
    <row r="16" spans="1:49" s="31" customFormat="1" ht="179.25" customHeight="1">
      <c r="A16" s="317"/>
      <c r="B16" s="320"/>
      <c r="C16" s="323"/>
      <c r="D16" s="323"/>
      <c r="E16" s="109" t="s">
        <v>257</v>
      </c>
      <c r="F16" s="123">
        <f t="shared" si="9"/>
        <v>5832.1</v>
      </c>
      <c r="G16" s="123">
        <f t="shared" si="9"/>
        <v>0</v>
      </c>
      <c r="H16" s="123">
        <v>0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26"/>
      <c r="AT16" s="333"/>
      <c r="AU16" s="121"/>
      <c r="AV16" s="121"/>
      <c r="AW16" s="155"/>
    </row>
    <row r="17" spans="1:49" s="31" customFormat="1" ht="12.75">
      <c r="A17" s="315" t="s">
        <v>327</v>
      </c>
      <c r="B17" s="318" t="s">
        <v>328</v>
      </c>
      <c r="C17" s="321" t="s">
        <v>329</v>
      </c>
      <c r="D17" s="327" t="s">
        <v>330</v>
      </c>
      <c r="E17" s="107" t="s">
        <v>42</v>
      </c>
      <c r="F17" s="123">
        <f>SUM(F18:F20)</f>
        <v>77800</v>
      </c>
      <c r="G17" s="123">
        <f t="shared" ref="G17:P17" si="14">SUM(G18:G20)</f>
        <v>6082.4</v>
      </c>
      <c r="H17" s="123">
        <f>G17/F17*100</f>
        <v>7.8179948586118249</v>
      </c>
      <c r="I17" s="123">
        <f t="shared" si="14"/>
        <v>7091.6</v>
      </c>
      <c r="J17" s="123">
        <f t="shared" si="14"/>
        <v>6082.4</v>
      </c>
      <c r="K17" s="123">
        <f>J17/I17*100</f>
        <v>85.769078910260021</v>
      </c>
      <c r="L17" s="123">
        <f t="shared" si="14"/>
        <v>7886.9</v>
      </c>
      <c r="M17" s="123">
        <f t="shared" si="14"/>
        <v>0</v>
      </c>
      <c r="N17" s="123">
        <f t="shared" si="10"/>
        <v>0</v>
      </c>
      <c r="O17" s="123">
        <f t="shared" si="14"/>
        <v>6038</v>
      </c>
      <c r="P17" s="123">
        <f t="shared" si="14"/>
        <v>0</v>
      </c>
      <c r="Q17" s="123">
        <f t="shared" si="11"/>
        <v>0</v>
      </c>
      <c r="R17" s="123">
        <f t="shared" ref="R17:AB17" si="15">SUM(R18:R20)</f>
        <v>6900</v>
      </c>
      <c r="S17" s="123">
        <f t="shared" si="15"/>
        <v>0</v>
      </c>
      <c r="T17" s="123">
        <f t="shared" si="12"/>
        <v>0</v>
      </c>
      <c r="U17" s="123">
        <f t="shared" si="15"/>
        <v>6826.3</v>
      </c>
      <c r="V17" s="123">
        <f t="shared" si="15"/>
        <v>0</v>
      </c>
      <c r="W17" s="123">
        <f t="shared" ref="W17" si="16">V17/U17*100</f>
        <v>0</v>
      </c>
      <c r="X17" s="123">
        <f t="shared" si="15"/>
        <v>7190.9</v>
      </c>
      <c r="Y17" s="123">
        <f t="shared" si="15"/>
        <v>0</v>
      </c>
      <c r="Z17" s="123">
        <f>Y17/X17*100</f>
        <v>0</v>
      </c>
      <c r="AA17" s="104">
        <f t="shared" si="15"/>
        <v>7431.5</v>
      </c>
      <c r="AB17" s="123">
        <f t="shared" si="15"/>
        <v>0</v>
      </c>
      <c r="AC17" s="123">
        <f>SUM(AC18:AC20)</f>
        <v>0</v>
      </c>
      <c r="AD17" s="104">
        <f t="shared" ref="AD17:AR17" si="17">SUM(AD18:AD20)</f>
        <v>6016.2</v>
      </c>
      <c r="AE17" s="104">
        <f t="shared" si="17"/>
        <v>0</v>
      </c>
      <c r="AF17" s="104">
        <f t="shared" si="6"/>
        <v>0</v>
      </c>
      <c r="AG17" s="104">
        <f t="shared" si="17"/>
        <v>5470</v>
      </c>
      <c r="AH17" s="123">
        <f t="shared" si="17"/>
        <v>0</v>
      </c>
      <c r="AI17" s="123">
        <f t="shared" si="17"/>
        <v>0</v>
      </c>
      <c r="AJ17" s="123">
        <f t="shared" si="17"/>
        <v>5540.8</v>
      </c>
      <c r="AK17" s="123">
        <f t="shared" si="17"/>
        <v>0</v>
      </c>
      <c r="AL17" s="123">
        <f t="shared" si="17"/>
        <v>0</v>
      </c>
      <c r="AM17" s="104">
        <f t="shared" si="17"/>
        <v>5036.7</v>
      </c>
      <c r="AN17" s="123">
        <f t="shared" si="17"/>
        <v>0</v>
      </c>
      <c r="AO17" s="123">
        <f t="shared" si="17"/>
        <v>0</v>
      </c>
      <c r="AP17" s="104">
        <f t="shared" si="17"/>
        <v>6371.1</v>
      </c>
      <c r="AQ17" s="123">
        <f t="shared" si="17"/>
        <v>0</v>
      </c>
      <c r="AR17" s="123">
        <f t="shared" si="17"/>
        <v>0</v>
      </c>
      <c r="AS17" s="324" t="s">
        <v>299</v>
      </c>
      <c r="AT17" s="331" t="s">
        <v>296</v>
      </c>
      <c r="AU17" s="121"/>
      <c r="AV17" s="121"/>
      <c r="AW17" s="155"/>
    </row>
    <row r="18" spans="1:49" s="31" customFormat="1" ht="36">
      <c r="A18" s="316"/>
      <c r="B18" s="319"/>
      <c r="C18" s="322"/>
      <c r="D18" s="328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25"/>
      <c r="AT18" s="332"/>
      <c r="AU18" s="121"/>
      <c r="AV18" s="121"/>
      <c r="AW18" s="155"/>
    </row>
    <row r="19" spans="1:49" s="31" customFormat="1" ht="12.75">
      <c r="A19" s="316"/>
      <c r="B19" s="319"/>
      <c r="C19" s="322"/>
      <c r="D19" s="328"/>
      <c r="E19" s="108" t="s">
        <v>44</v>
      </c>
      <c r="F19" s="123">
        <f t="shared" ref="F19:G20" si="18">I19+L19+O19+R19+U19+X19+AA19+AD19+AG19+AJ19+AM19+AP19</f>
        <v>77800</v>
      </c>
      <c r="G19" s="123">
        <f t="shared" si="18"/>
        <v>6082.4</v>
      </c>
      <c r="H19" s="123">
        <v>0</v>
      </c>
      <c r="I19" s="123">
        <v>7091.6</v>
      </c>
      <c r="J19" s="123">
        <v>6082.4</v>
      </c>
      <c r="K19" s="123">
        <f t="shared" ref="K19" si="19">J19/I19*100</f>
        <v>85.769078910260021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25"/>
      <c r="AT19" s="332"/>
      <c r="AU19" s="121"/>
      <c r="AV19" s="121"/>
      <c r="AW19" s="155"/>
    </row>
    <row r="20" spans="1:49" s="31" customFormat="1" ht="24">
      <c r="A20" s="317"/>
      <c r="B20" s="320"/>
      <c r="C20" s="323"/>
      <c r="D20" s="334"/>
      <c r="E20" s="109" t="s">
        <v>257</v>
      </c>
      <c r="F20" s="123">
        <f t="shared" si="18"/>
        <v>0</v>
      </c>
      <c r="G20" s="123">
        <f t="shared" si="18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26"/>
      <c r="AT20" s="333"/>
      <c r="AU20" s="121"/>
      <c r="AV20" s="121"/>
      <c r="AW20" s="155"/>
    </row>
    <row r="21" spans="1:49" s="31" customFormat="1" ht="409.5">
      <c r="A21" s="176" t="s">
        <v>331</v>
      </c>
      <c r="B21" s="177" t="s">
        <v>332</v>
      </c>
      <c r="C21" s="178" t="s">
        <v>333</v>
      </c>
      <c r="D21" s="180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79" t="s">
        <v>319</v>
      </c>
      <c r="AT21" s="181" t="s">
        <v>297</v>
      </c>
      <c r="AU21" s="121"/>
      <c r="AV21" s="121"/>
      <c r="AW21" s="155"/>
    </row>
    <row r="22" spans="1:49" s="31" customFormat="1" ht="12.75">
      <c r="A22" s="315" t="s">
        <v>334</v>
      </c>
      <c r="B22" s="318" t="s">
        <v>335</v>
      </c>
      <c r="C22" s="321" t="s">
        <v>268</v>
      </c>
      <c r="D22" s="327" t="s">
        <v>336</v>
      </c>
      <c r="E22" s="107" t="s">
        <v>42</v>
      </c>
      <c r="F22" s="123">
        <f>SUM(F23:F24)</f>
        <v>3987.3</v>
      </c>
      <c r="G22" s="123">
        <f>SUM(G23:G24)</f>
        <v>326.39999999999998</v>
      </c>
      <c r="H22" s="123">
        <f>G22/F22*100</f>
        <v>8.1859905199006828</v>
      </c>
      <c r="I22" s="123">
        <f>SUM(I23:I24)</f>
        <v>326</v>
      </c>
      <c r="J22" s="123">
        <f>SUM(J23:J24)</f>
        <v>326.39999999999998</v>
      </c>
      <c r="K22" s="123">
        <f t="shared" ref="K22:K26" si="20">J22/I22*100</f>
        <v>100.12269938650307</v>
      </c>
      <c r="L22" s="123">
        <f>SUM(L23:L24)</f>
        <v>326</v>
      </c>
      <c r="M22" s="123">
        <f>SUM(M23:M24)</f>
        <v>0</v>
      </c>
      <c r="N22" s="123">
        <f t="shared" si="10"/>
        <v>0</v>
      </c>
      <c r="O22" s="123">
        <f>SUM(O23:O24)</f>
        <v>326</v>
      </c>
      <c r="P22" s="123">
        <f>SUM(P23:P24)</f>
        <v>0</v>
      </c>
      <c r="Q22" s="123">
        <f t="shared" si="11"/>
        <v>0</v>
      </c>
      <c r="R22" s="123">
        <f>SUM(R23:R24)</f>
        <v>326</v>
      </c>
      <c r="S22" s="123">
        <f>SUM(S23:S24)</f>
        <v>0</v>
      </c>
      <c r="T22" s="123">
        <f t="shared" si="12"/>
        <v>0</v>
      </c>
      <c r="U22" s="123">
        <f>SUM(U23:U24)</f>
        <v>326</v>
      </c>
      <c r="V22" s="123">
        <f>SUM(V23:V24)</f>
        <v>0</v>
      </c>
      <c r="W22" s="123">
        <f t="shared" ref="W22" si="21">V22/U22*100</f>
        <v>0</v>
      </c>
      <c r="X22" s="123">
        <f t="shared" ref="X22:AE22" si="22">SUM(X23:X24)</f>
        <v>326</v>
      </c>
      <c r="Y22" s="123">
        <f t="shared" si="22"/>
        <v>0</v>
      </c>
      <c r="Z22" s="123">
        <f t="shared" si="22"/>
        <v>0</v>
      </c>
      <c r="AA22" s="104">
        <f t="shared" si="22"/>
        <v>326</v>
      </c>
      <c r="AB22" s="123">
        <f t="shared" si="22"/>
        <v>0</v>
      </c>
      <c r="AC22" s="123">
        <f t="shared" si="22"/>
        <v>0</v>
      </c>
      <c r="AD22" s="104">
        <f t="shared" si="22"/>
        <v>326</v>
      </c>
      <c r="AE22" s="104">
        <f t="shared" si="22"/>
        <v>0</v>
      </c>
      <c r="AF22" s="104">
        <f t="shared" si="6"/>
        <v>0</v>
      </c>
      <c r="AG22" s="104">
        <f t="shared" ref="AG22:AR22" si="23">SUM(AG23:AG24)</f>
        <v>326</v>
      </c>
      <c r="AH22" s="123">
        <f t="shared" si="23"/>
        <v>0</v>
      </c>
      <c r="AI22" s="123">
        <f t="shared" si="23"/>
        <v>0</v>
      </c>
      <c r="AJ22" s="123">
        <f t="shared" si="23"/>
        <v>326</v>
      </c>
      <c r="AK22" s="123">
        <f t="shared" si="23"/>
        <v>0</v>
      </c>
      <c r="AL22" s="123">
        <f t="shared" si="23"/>
        <v>0</v>
      </c>
      <c r="AM22" s="104">
        <f t="shared" si="23"/>
        <v>326</v>
      </c>
      <c r="AN22" s="123">
        <f t="shared" si="23"/>
        <v>0</v>
      </c>
      <c r="AO22" s="123">
        <f t="shared" si="23"/>
        <v>0</v>
      </c>
      <c r="AP22" s="104">
        <f t="shared" si="23"/>
        <v>401.3</v>
      </c>
      <c r="AQ22" s="123">
        <f t="shared" si="23"/>
        <v>0</v>
      </c>
      <c r="AR22" s="123">
        <f t="shared" si="23"/>
        <v>0</v>
      </c>
      <c r="AS22" s="324" t="s">
        <v>319</v>
      </c>
      <c r="AT22" s="329" t="s">
        <v>297</v>
      </c>
      <c r="AU22" s="121"/>
      <c r="AV22" s="121"/>
      <c r="AW22" s="155"/>
    </row>
    <row r="23" spans="1:49" s="31" customFormat="1" ht="36">
      <c r="A23" s="316"/>
      <c r="B23" s="319"/>
      <c r="C23" s="322"/>
      <c r="D23" s="328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25"/>
      <c r="AT23" s="330"/>
      <c r="AU23" s="121"/>
      <c r="AV23" s="121"/>
      <c r="AW23" s="155"/>
    </row>
    <row r="24" spans="1:49" s="31" customFormat="1" ht="12.75">
      <c r="A24" s="316"/>
      <c r="B24" s="319"/>
      <c r="C24" s="322"/>
      <c r="D24" s="328"/>
      <c r="E24" s="108" t="s">
        <v>44</v>
      </c>
      <c r="F24" s="123">
        <f t="shared" ref="F24:G24" si="24">I24+L24+O24+R24+U24+X24+AA24+AD24+AG24+AJ24+AM24+AP24</f>
        <v>3987.3</v>
      </c>
      <c r="G24" s="123">
        <f t="shared" si="24"/>
        <v>326.39999999999998</v>
      </c>
      <c r="H24" s="123">
        <v>0</v>
      </c>
      <c r="I24" s="123">
        <v>326</v>
      </c>
      <c r="J24" s="123">
        <v>326.39999999999998</v>
      </c>
      <c r="K24" s="123">
        <f t="shared" si="20"/>
        <v>100.12269938650307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25"/>
      <c r="AT24" s="330"/>
      <c r="AU24" s="121"/>
      <c r="AV24" s="121"/>
      <c r="AW24" s="155"/>
    </row>
    <row r="25" spans="1:49" s="31" customFormat="1" ht="12.75">
      <c r="A25" s="315" t="s">
        <v>337</v>
      </c>
      <c r="B25" s="318" t="s">
        <v>338</v>
      </c>
      <c r="C25" s="321" t="s">
        <v>339</v>
      </c>
      <c r="D25" s="327" t="s">
        <v>340</v>
      </c>
      <c r="E25" s="107" t="s">
        <v>42</v>
      </c>
      <c r="F25" s="123">
        <f>SUM(F26:F28)</f>
        <v>5215.6000000000004</v>
      </c>
      <c r="G25" s="123">
        <f t="shared" ref="G25:P25" si="25">SUM(G26:G28)</f>
        <v>97.9</v>
      </c>
      <c r="H25" s="123">
        <f>G25/F25*100</f>
        <v>1.8770611243193496</v>
      </c>
      <c r="I25" s="123">
        <f t="shared" si="25"/>
        <v>308.8</v>
      </c>
      <c r="J25" s="123">
        <f t="shared" si="25"/>
        <v>97.9</v>
      </c>
      <c r="K25" s="123">
        <f t="shared" si="20"/>
        <v>31.703367875647672</v>
      </c>
      <c r="L25" s="123">
        <f t="shared" si="25"/>
        <v>384.9</v>
      </c>
      <c r="M25" s="123">
        <f t="shared" si="25"/>
        <v>0</v>
      </c>
      <c r="N25" s="123">
        <v>0</v>
      </c>
      <c r="O25" s="123">
        <f t="shared" si="25"/>
        <v>939.2</v>
      </c>
      <c r="P25" s="123">
        <f t="shared" si="25"/>
        <v>0</v>
      </c>
      <c r="Q25" s="123">
        <v>0</v>
      </c>
      <c r="R25" s="123">
        <f t="shared" ref="R25:Z25" si="26">SUM(R26:R28)</f>
        <v>353</v>
      </c>
      <c r="S25" s="123">
        <f t="shared" si="26"/>
        <v>0</v>
      </c>
      <c r="T25" s="123">
        <v>0</v>
      </c>
      <c r="U25" s="123">
        <f t="shared" si="26"/>
        <v>378</v>
      </c>
      <c r="V25" s="123">
        <f t="shared" si="26"/>
        <v>0</v>
      </c>
      <c r="W25" s="123">
        <f t="shared" si="26"/>
        <v>0</v>
      </c>
      <c r="X25" s="123">
        <f t="shared" si="26"/>
        <v>416.5</v>
      </c>
      <c r="Y25" s="123">
        <f t="shared" si="26"/>
        <v>0</v>
      </c>
      <c r="Z25" s="123">
        <f t="shared" si="26"/>
        <v>0</v>
      </c>
      <c r="AA25" s="104">
        <f t="shared" ref="AA25:AB25" si="27">SUM(AA26:AA28)</f>
        <v>482.40000000000003</v>
      </c>
      <c r="AB25" s="123">
        <f t="shared" si="27"/>
        <v>0</v>
      </c>
      <c r="AC25" s="123">
        <f>SUM(AC26:AC28)</f>
        <v>0</v>
      </c>
      <c r="AD25" s="104">
        <f t="shared" ref="AD25:AR25" si="28">SUM(AD26:AD28)</f>
        <v>451.1</v>
      </c>
      <c r="AE25" s="104">
        <f t="shared" si="28"/>
        <v>0</v>
      </c>
      <c r="AF25" s="104">
        <f t="shared" si="6"/>
        <v>0</v>
      </c>
      <c r="AG25" s="104">
        <f t="shared" si="28"/>
        <v>471.79999999999995</v>
      </c>
      <c r="AH25" s="123">
        <f t="shared" si="28"/>
        <v>0</v>
      </c>
      <c r="AI25" s="104">
        <f t="shared" ref="AI25" si="29">AH25/AG25*100</f>
        <v>0</v>
      </c>
      <c r="AJ25" s="123">
        <f t="shared" si="28"/>
        <v>517.1</v>
      </c>
      <c r="AK25" s="123">
        <f t="shared" si="28"/>
        <v>0</v>
      </c>
      <c r="AL25" s="123">
        <f t="shared" si="28"/>
        <v>0</v>
      </c>
      <c r="AM25" s="104">
        <f t="shared" si="28"/>
        <v>227.5</v>
      </c>
      <c r="AN25" s="123">
        <f t="shared" si="28"/>
        <v>0</v>
      </c>
      <c r="AO25" s="123">
        <f t="shared" si="28"/>
        <v>0</v>
      </c>
      <c r="AP25" s="104">
        <f t="shared" si="28"/>
        <v>285.3</v>
      </c>
      <c r="AQ25" s="123">
        <f t="shared" si="28"/>
        <v>0</v>
      </c>
      <c r="AR25" s="123">
        <f t="shared" si="28"/>
        <v>0</v>
      </c>
      <c r="AS25" s="324" t="s">
        <v>318</v>
      </c>
      <c r="AT25" s="335"/>
      <c r="AU25" s="121"/>
      <c r="AV25" s="121"/>
      <c r="AW25" s="155"/>
    </row>
    <row r="26" spans="1:49" s="31" customFormat="1" ht="36">
      <c r="A26" s="316"/>
      <c r="B26" s="319"/>
      <c r="C26" s="322"/>
      <c r="D26" s="328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97.9</v>
      </c>
      <c r="H26" s="123">
        <f>G26/F26*100</f>
        <v>3.8431341760226112</v>
      </c>
      <c r="I26" s="104">
        <v>100</v>
      </c>
      <c r="J26" s="104">
        <v>97.9</v>
      </c>
      <c r="K26" s="123">
        <f t="shared" si="20"/>
        <v>97.9</v>
      </c>
      <c r="L26" s="126">
        <v>124.5</v>
      </c>
      <c r="M26" s="104">
        <v>0</v>
      </c>
      <c r="N26" s="123">
        <v>0</v>
      </c>
      <c r="O26" s="104">
        <f>124.5+697.2-100</f>
        <v>721.7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25"/>
      <c r="AT26" s="336"/>
      <c r="AU26" s="121"/>
      <c r="AV26" s="121"/>
      <c r="AW26" s="155"/>
    </row>
    <row r="27" spans="1:49" s="31" customFormat="1" ht="12.75">
      <c r="A27" s="316"/>
      <c r="B27" s="319"/>
      <c r="C27" s="322"/>
      <c r="D27" s="328"/>
      <c r="E27" s="108" t="s">
        <v>44</v>
      </c>
      <c r="F27" s="123">
        <f t="shared" ref="F27:G28" si="30">I27+L27+O27+R27+U27+X27+AA27+AD27+AG27+AJ27+AM27+AP27</f>
        <v>2668.2000000000003</v>
      </c>
      <c r="G27" s="123">
        <f t="shared" si="30"/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25"/>
      <c r="AT27" s="336"/>
      <c r="AU27" s="121"/>
      <c r="AV27" s="121"/>
      <c r="AW27" s="155"/>
    </row>
    <row r="28" spans="1:49" s="31" customFormat="1" ht="34.5" customHeight="1">
      <c r="A28" s="317"/>
      <c r="B28" s="320"/>
      <c r="C28" s="323"/>
      <c r="D28" s="334"/>
      <c r="E28" s="109" t="s">
        <v>257</v>
      </c>
      <c r="F28" s="123">
        <f t="shared" si="30"/>
        <v>0</v>
      </c>
      <c r="G28" s="123">
        <f t="shared" si="30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26"/>
      <c r="AT28" s="337"/>
      <c r="AU28" s="121"/>
      <c r="AV28" s="121"/>
      <c r="AW28" s="155"/>
    </row>
    <row r="29" spans="1:49" s="31" customFormat="1" ht="12.75">
      <c r="A29" s="315" t="s">
        <v>341</v>
      </c>
      <c r="B29" s="318" t="s">
        <v>342</v>
      </c>
      <c r="C29" s="321" t="s">
        <v>268</v>
      </c>
      <c r="D29" s="327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1">SUM(U30:U31)</f>
        <v>0</v>
      </c>
      <c r="V29" s="123">
        <f t="shared" si="31"/>
        <v>0</v>
      </c>
      <c r="W29" s="123">
        <f t="shared" si="31"/>
        <v>0</v>
      </c>
      <c r="X29" s="123">
        <f t="shared" si="31"/>
        <v>0</v>
      </c>
      <c r="Y29" s="123">
        <f t="shared" si="31"/>
        <v>0</v>
      </c>
      <c r="Z29" s="123">
        <f t="shared" si="31"/>
        <v>0</v>
      </c>
      <c r="AA29" s="104">
        <f t="shared" si="31"/>
        <v>0</v>
      </c>
      <c r="AB29" s="123">
        <f t="shared" si="31"/>
        <v>0</v>
      </c>
      <c r="AC29" s="123">
        <f t="shared" si="31"/>
        <v>0</v>
      </c>
      <c r="AD29" s="104">
        <f t="shared" si="31"/>
        <v>0</v>
      </c>
      <c r="AE29" s="104">
        <f t="shared" si="31"/>
        <v>0</v>
      </c>
      <c r="AF29" s="104">
        <f t="shared" si="31"/>
        <v>0</v>
      </c>
      <c r="AG29" s="104">
        <f t="shared" si="31"/>
        <v>0</v>
      </c>
      <c r="AH29" s="123">
        <f t="shared" si="31"/>
        <v>0</v>
      </c>
      <c r="AI29" s="117">
        <v>0</v>
      </c>
      <c r="AJ29" s="123">
        <f t="shared" ref="AJ29:AR29" si="32">SUM(AJ30:AJ31)</f>
        <v>0</v>
      </c>
      <c r="AK29" s="123">
        <f t="shared" si="32"/>
        <v>0</v>
      </c>
      <c r="AL29" s="123">
        <f t="shared" si="32"/>
        <v>0</v>
      </c>
      <c r="AM29" s="104">
        <f t="shared" si="32"/>
        <v>0</v>
      </c>
      <c r="AN29" s="123">
        <f t="shared" si="32"/>
        <v>0</v>
      </c>
      <c r="AO29" s="123">
        <f t="shared" si="32"/>
        <v>0</v>
      </c>
      <c r="AP29" s="104">
        <f t="shared" si="32"/>
        <v>0</v>
      </c>
      <c r="AQ29" s="123">
        <f t="shared" si="32"/>
        <v>0</v>
      </c>
      <c r="AR29" s="123">
        <f t="shared" si="32"/>
        <v>0</v>
      </c>
      <c r="AS29" s="324" t="s">
        <v>298</v>
      </c>
      <c r="AT29" s="335"/>
      <c r="AU29" s="121"/>
      <c r="AV29" s="121"/>
      <c r="AW29" s="155"/>
    </row>
    <row r="30" spans="1:49" s="31" customFormat="1" ht="36">
      <c r="A30" s="316"/>
      <c r="B30" s="319"/>
      <c r="C30" s="322"/>
      <c r="D30" s="328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25"/>
      <c r="AT30" s="336"/>
      <c r="AU30" s="121"/>
      <c r="AV30" s="121"/>
      <c r="AW30" s="155"/>
    </row>
    <row r="31" spans="1:49" s="31" customFormat="1" ht="41.25" customHeight="1">
      <c r="A31" s="316"/>
      <c r="B31" s="319"/>
      <c r="C31" s="322"/>
      <c r="D31" s="328"/>
      <c r="E31" s="108" t="s">
        <v>44</v>
      </c>
      <c r="F31" s="123">
        <f t="shared" ref="F31:G31" si="33">I31+L31+O31+R31+U31+X31+AA31+AD31+AG31+AJ31+AM31+AP31</f>
        <v>150</v>
      </c>
      <c r="G31" s="123">
        <f t="shared" si="33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25"/>
      <c r="AT31" s="336"/>
      <c r="AU31" s="121"/>
      <c r="AV31" s="121"/>
      <c r="AW31" s="155"/>
    </row>
    <row r="32" spans="1:49" s="31" customFormat="1" ht="15.75">
      <c r="A32" s="297" t="s">
        <v>344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9"/>
    </row>
    <row r="33" spans="1:49" s="100" customFormat="1" ht="12.75">
      <c r="A33" s="338" t="s">
        <v>345</v>
      </c>
      <c r="B33" s="339"/>
      <c r="C33" s="339"/>
      <c r="D33" s="340"/>
      <c r="E33" s="129" t="s">
        <v>42</v>
      </c>
      <c r="F33" s="106">
        <f>F34+F35+F36</f>
        <v>33940.800000000003</v>
      </c>
      <c r="G33" s="106">
        <f t="shared" ref="G33:AR33" si="34">G34+G35+G36</f>
        <v>556</v>
      </c>
      <c r="H33" s="106">
        <f>G33/F33*100</f>
        <v>1.6381464196483286</v>
      </c>
      <c r="I33" s="106">
        <f t="shared" si="34"/>
        <v>556</v>
      </c>
      <c r="J33" s="106">
        <f t="shared" si="34"/>
        <v>556</v>
      </c>
      <c r="K33" s="106">
        <f>J33/I33*100</f>
        <v>100</v>
      </c>
      <c r="L33" s="106">
        <f t="shared" si="34"/>
        <v>2428</v>
      </c>
      <c r="M33" s="106">
        <f t="shared" si="34"/>
        <v>0</v>
      </c>
      <c r="N33" s="106">
        <f>M33/L33*100</f>
        <v>0</v>
      </c>
      <c r="O33" s="106">
        <f t="shared" si="34"/>
        <v>2242</v>
      </c>
      <c r="P33" s="106">
        <f t="shared" si="34"/>
        <v>0</v>
      </c>
      <c r="Q33" s="106">
        <f>P33/O33*100</f>
        <v>0</v>
      </c>
      <c r="R33" s="106">
        <f t="shared" si="34"/>
        <v>3060</v>
      </c>
      <c r="S33" s="106">
        <f t="shared" si="34"/>
        <v>0</v>
      </c>
      <c r="T33" s="106">
        <f>S33/R33*100</f>
        <v>0</v>
      </c>
      <c r="U33" s="106">
        <f t="shared" si="34"/>
        <v>2489</v>
      </c>
      <c r="V33" s="106">
        <f t="shared" si="34"/>
        <v>0</v>
      </c>
      <c r="W33" s="106">
        <f t="shared" si="34"/>
        <v>0</v>
      </c>
      <c r="X33" s="106">
        <f t="shared" si="34"/>
        <v>2628</v>
      </c>
      <c r="Y33" s="106">
        <f t="shared" si="34"/>
        <v>0</v>
      </c>
      <c r="Z33" s="106">
        <f t="shared" si="34"/>
        <v>0</v>
      </c>
      <c r="AA33" s="106">
        <f t="shared" si="34"/>
        <v>3576</v>
      </c>
      <c r="AB33" s="106">
        <f t="shared" si="34"/>
        <v>0</v>
      </c>
      <c r="AC33" s="106">
        <f t="shared" si="34"/>
        <v>0</v>
      </c>
      <c r="AD33" s="106">
        <f t="shared" si="34"/>
        <v>2569</v>
      </c>
      <c r="AE33" s="106">
        <f t="shared" si="34"/>
        <v>0</v>
      </c>
      <c r="AF33" s="106">
        <f t="shared" ref="AF33:AF35" si="35">AE33/AD33*100</f>
        <v>0</v>
      </c>
      <c r="AG33" s="106">
        <f t="shared" si="34"/>
        <v>2544</v>
      </c>
      <c r="AH33" s="106">
        <f t="shared" si="34"/>
        <v>0</v>
      </c>
      <c r="AI33" s="106">
        <f t="shared" si="34"/>
        <v>0</v>
      </c>
      <c r="AJ33" s="106">
        <f t="shared" si="34"/>
        <v>2984</v>
      </c>
      <c r="AK33" s="106">
        <f t="shared" si="34"/>
        <v>0</v>
      </c>
      <c r="AL33" s="106">
        <f t="shared" si="34"/>
        <v>0</v>
      </c>
      <c r="AM33" s="106">
        <f t="shared" si="34"/>
        <v>2265.6</v>
      </c>
      <c r="AN33" s="106">
        <f t="shared" si="34"/>
        <v>0</v>
      </c>
      <c r="AO33" s="106">
        <f t="shared" si="34"/>
        <v>0</v>
      </c>
      <c r="AP33" s="106">
        <f t="shared" si="34"/>
        <v>6599.2</v>
      </c>
      <c r="AQ33" s="106">
        <f t="shared" si="34"/>
        <v>0</v>
      </c>
      <c r="AR33" s="106">
        <f t="shared" si="34"/>
        <v>0</v>
      </c>
      <c r="AS33" s="347"/>
      <c r="AT33" s="350"/>
      <c r="AU33" s="121"/>
      <c r="AV33" s="121"/>
      <c r="AW33" s="155"/>
    </row>
    <row r="34" spans="1:49" s="100" customFormat="1" ht="36">
      <c r="A34" s="341"/>
      <c r="B34" s="342"/>
      <c r="C34" s="342"/>
      <c r="D34" s="343"/>
      <c r="E34" s="111" t="s">
        <v>3</v>
      </c>
      <c r="F34" s="106">
        <f>F43</f>
        <v>30600.9</v>
      </c>
      <c r="G34" s="106">
        <f t="shared" ref="G34:AR36" si="36">G43</f>
        <v>0</v>
      </c>
      <c r="H34" s="106">
        <f>G34/F34*100</f>
        <v>0</v>
      </c>
      <c r="I34" s="106">
        <f t="shared" si="36"/>
        <v>0</v>
      </c>
      <c r="J34" s="106">
        <f t="shared" si="36"/>
        <v>0</v>
      </c>
      <c r="K34" s="106" t="e">
        <f t="shared" ref="K34:K35" si="37">J34/I34*100</f>
        <v>#DIV/0!</v>
      </c>
      <c r="L34" s="106">
        <f t="shared" si="36"/>
        <v>2178</v>
      </c>
      <c r="M34" s="106">
        <f t="shared" si="36"/>
        <v>0</v>
      </c>
      <c r="N34" s="106">
        <f t="shared" ref="N34:N35" si="38">M34/L34*100</f>
        <v>0</v>
      </c>
      <c r="O34" s="106">
        <f t="shared" si="36"/>
        <v>1989</v>
      </c>
      <c r="P34" s="106">
        <f t="shared" si="36"/>
        <v>0</v>
      </c>
      <c r="Q34" s="106">
        <f t="shared" ref="Q34:Q35" si="39">P34/O34*100</f>
        <v>0</v>
      </c>
      <c r="R34" s="106">
        <f t="shared" si="36"/>
        <v>3010</v>
      </c>
      <c r="S34" s="106">
        <f t="shared" si="36"/>
        <v>0</v>
      </c>
      <c r="T34" s="106">
        <f t="shared" ref="T34:T35" si="40">S34/R34*100</f>
        <v>0</v>
      </c>
      <c r="U34" s="106">
        <f t="shared" si="36"/>
        <v>2037</v>
      </c>
      <c r="V34" s="106">
        <f t="shared" si="36"/>
        <v>0</v>
      </c>
      <c r="W34" s="106">
        <f t="shared" si="36"/>
        <v>0</v>
      </c>
      <c r="X34" s="106">
        <f t="shared" si="36"/>
        <v>2578</v>
      </c>
      <c r="Y34" s="106">
        <f t="shared" si="36"/>
        <v>0</v>
      </c>
      <c r="Z34" s="106">
        <f t="shared" si="36"/>
        <v>0</v>
      </c>
      <c r="AA34" s="106">
        <f t="shared" si="36"/>
        <v>3526</v>
      </c>
      <c r="AB34" s="106">
        <f t="shared" si="36"/>
        <v>0</v>
      </c>
      <c r="AC34" s="106">
        <f t="shared" si="36"/>
        <v>0</v>
      </c>
      <c r="AD34" s="106">
        <f t="shared" si="36"/>
        <v>2117</v>
      </c>
      <c r="AE34" s="106">
        <f t="shared" si="36"/>
        <v>0</v>
      </c>
      <c r="AF34" s="106">
        <f t="shared" si="35"/>
        <v>0</v>
      </c>
      <c r="AG34" s="106">
        <f t="shared" si="36"/>
        <v>2494</v>
      </c>
      <c r="AH34" s="106">
        <f t="shared" si="36"/>
        <v>0</v>
      </c>
      <c r="AI34" s="106">
        <f t="shared" si="36"/>
        <v>0</v>
      </c>
      <c r="AJ34" s="106">
        <f t="shared" si="36"/>
        <v>2934</v>
      </c>
      <c r="AK34" s="106">
        <f t="shared" si="36"/>
        <v>0</v>
      </c>
      <c r="AL34" s="106">
        <f t="shared" si="36"/>
        <v>0</v>
      </c>
      <c r="AM34" s="106">
        <f t="shared" si="36"/>
        <v>1812</v>
      </c>
      <c r="AN34" s="106">
        <f t="shared" si="36"/>
        <v>0</v>
      </c>
      <c r="AO34" s="106">
        <f t="shared" si="36"/>
        <v>0</v>
      </c>
      <c r="AP34" s="106">
        <f t="shared" si="36"/>
        <v>5925.9</v>
      </c>
      <c r="AQ34" s="106">
        <f t="shared" si="36"/>
        <v>0</v>
      </c>
      <c r="AR34" s="106">
        <f t="shared" si="36"/>
        <v>0</v>
      </c>
      <c r="AS34" s="348"/>
      <c r="AT34" s="351"/>
      <c r="AU34" s="121"/>
      <c r="AV34" s="121"/>
      <c r="AW34" s="155"/>
    </row>
    <row r="35" spans="1:49" s="100" customFormat="1" ht="24">
      <c r="A35" s="341"/>
      <c r="B35" s="342"/>
      <c r="C35" s="342"/>
      <c r="D35" s="343"/>
      <c r="E35" s="111" t="s">
        <v>44</v>
      </c>
      <c r="F35" s="106">
        <f>F44</f>
        <v>3339.8999999999996</v>
      </c>
      <c r="G35" s="106">
        <f t="shared" si="36"/>
        <v>556</v>
      </c>
      <c r="H35" s="106">
        <f>G35/F35*100</f>
        <v>16.647205006137909</v>
      </c>
      <c r="I35" s="106">
        <f t="shared" si="36"/>
        <v>556</v>
      </c>
      <c r="J35" s="106">
        <f t="shared" si="36"/>
        <v>556</v>
      </c>
      <c r="K35" s="106">
        <f t="shared" si="37"/>
        <v>100</v>
      </c>
      <c r="L35" s="106">
        <f t="shared" si="36"/>
        <v>250</v>
      </c>
      <c r="M35" s="106">
        <f t="shared" si="36"/>
        <v>0</v>
      </c>
      <c r="N35" s="106">
        <f t="shared" si="38"/>
        <v>0</v>
      </c>
      <c r="O35" s="106">
        <f t="shared" si="36"/>
        <v>253</v>
      </c>
      <c r="P35" s="106">
        <f t="shared" si="36"/>
        <v>0</v>
      </c>
      <c r="Q35" s="106">
        <f t="shared" si="39"/>
        <v>0</v>
      </c>
      <c r="R35" s="106">
        <f t="shared" si="36"/>
        <v>50</v>
      </c>
      <c r="S35" s="106">
        <f t="shared" si="36"/>
        <v>0</v>
      </c>
      <c r="T35" s="106">
        <f t="shared" si="40"/>
        <v>0</v>
      </c>
      <c r="U35" s="106">
        <f t="shared" si="36"/>
        <v>452</v>
      </c>
      <c r="V35" s="106">
        <f t="shared" si="36"/>
        <v>0</v>
      </c>
      <c r="W35" s="106">
        <f t="shared" si="36"/>
        <v>0</v>
      </c>
      <c r="X35" s="106">
        <f t="shared" si="36"/>
        <v>50</v>
      </c>
      <c r="Y35" s="106">
        <f t="shared" si="36"/>
        <v>0</v>
      </c>
      <c r="Z35" s="106">
        <f t="shared" si="36"/>
        <v>0</v>
      </c>
      <c r="AA35" s="106">
        <f t="shared" si="36"/>
        <v>50</v>
      </c>
      <c r="AB35" s="106">
        <f t="shared" si="36"/>
        <v>0</v>
      </c>
      <c r="AC35" s="106">
        <f t="shared" si="36"/>
        <v>0</v>
      </c>
      <c r="AD35" s="106">
        <f t="shared" si="36"/>
        <v>452</v>
      </c>
      <c r="AE35" s="106">
        <f t="shared" si="36"/>
        <v>0</v>
      </c>
      <c r="AF35" s="106">
        <f t="shared" si="35"/>
        <v>0</v>
      </c>
      <c r="AG35" s="106">
        <f t="shared" si="36"/>
        <v>50</v>
      </c>
      <c r="AH35" s="106">
        <f t="shared" si="36"/>
        <v>0</v>
      </c>
      <c r="AI35" s="106">
        <f t="shared" si="36"/>
        <v>0</v>
      </c>
      <c r="AJ35" s="106">
        <f t="shared" si="36"/>
        <v>50</v>
      </c>
      <c r="AK35" s="106">
        <f t="shared" si="36"/>
        <v>0</v>
      </c>
      <c r="AL35" s="106">
        <f t="shared" si="36"/>
        <v>0</v>
      </c>
      <c r="AM35" s="106">
        <f t="shared" si="36"/>
        <v>453.6</v>
      </c>
      <c r="AN35" s="106">
        <f t="shared" si="36"/>
        <v>0</v>
      </c>
      <c r="AO35" s="106">
        <f t="shared" si="36"/>
        <v>0</v>
      </c>
      <c r="AP35" s="106">
        <f t="shared" si="36"/>
        <v>673.3</v>
      </c>
      <c r="AQ35" s="106">
        <f t="shared" si="36"/>
        <v>0</v>
      </c>
      <c r="AR35" s="106">
        <f t="shared" si="36"/>
        <v>0</v>
      </c>
      <c r="AS35" s="348"/>
      <c r="AT35" s="351"/>
      <c r="AU35" s="121"/>
      <c r="AV35" s="121"/>
      <c r="AW35" s="155"/>
    </row>
    <row r="36" spans="1:49" s="100" customFormat="1" ht="24">
      <c r="A36" s="344"/>
      <c r="B36" s="345"/>
      <c r="C36" s="345"/>
      <c r="D36" s="346"/>
      <c r="E36" s="110" t="s">
        <v>257</v>
      </c>
      <c r="F36" s="106">
        <f>F45</f>
        <v>0</v>
      </c>
      <c r="G36" s="106">
        <f t="shared" si="36"/>
        <v>0</v>
      </c>
      <c r="H36" s="106">
        <v>0</v>
      </c>
      <c r="I36" s="106">
        <f t="shared" si="36"/>
        <v>0</v>
      </c>
      <c r="J36" s="106">
        <f t="shared" si="36"/>
        <v>0</v>
      </c>
      <c r="K36" s="106">
        <v>0</v>
      </c>
      <c r="L36" s="106">
        <f t="shared" si="36"/>
        <v>0</v>
      </c>
      <c r="M36" s="106">
        <f t="shared" si="36"/>
        <v>0</v>
      </c>
      <c r="N36" s="106">
        <v>0</v>
      </c>
      <c r="O36" s="106">
        <f t="shared" si="36"/>
        <v>0</v>
      </c>
      <c r="P36" s="106">
        <f t="shared" si="36"/>
        <v>0</v>
      </c>
      <c r="Q36" s="106">
        <f t="shared" si="36"/>
        <v>0</v>
      </c>
      <c r="R36" s="106">
        <f t="shared" si="36"/>
        <v>0</v>
      </c>
      <c r="S36" s="106">
        <f t="shared" si="36"/>
        <v>0</v>
      </c>
      <c r="T36" s="106">
        <v>0</v>
      </c>
      <c r="U36" s="106">
        <f t="shared" si="36"/>
        <v>0</v>
      </c>
      <c r="V36" s="106">
        <f t="shared" si="36"/>
        <v>0</v>
      </c>
      <c r="W36" s="106">
        <f t="shared" si="36"/>
        <v>0</v>
      </c>
      <c r="X36" s="106">
        <f t="shared" si="36"/>
        <v>0</v>
      </c>
      <c r="Y36" s="106">
        <f t="shared" si="36"/>
        <v>0</v>
      </c>
      <c r="Z36" s="106">
        <f t="shared" si="36"/>
        <v>0</v>
      </c>
      <c r="AA36" s="106">
        <f t="shared" si="36"/>
        <v>0</v>
      </c>
      <c r="AB36" s="106">
        <f t="shared" si="36"/>
        <v>0</v>
      </c>
      <c r="AC36" s="106">
        <f t="shared" si="36"/>
        <v>0</v>
      </c>
      <c r="AD36" s="106">
        <f t="shared" si="36"/>
        <v>0</v>
      </c>
      <c r="AE36" s="106">
        <f t="shared" si="36"/>
        <v>0</v>
      </c>
      <c r="AF36" s="106">
        <f t="shared" si="36"/>
        <v>0</v>
      </c>
      <c r="AG36" s="106">
        <f t="shared" si="36"/>
        <v>0</v>
      </c>
      <c r="AH36" s="106">
        <f t="shared" si="36"/>
        <v>0</v>
      </c>
      <c r="AI36" s="106">
        <f t="shared" si="36"/>
        <v>0</v>
      </c>
      <c r="AJ36" s="106">
        <f t="shared" si="36"/>
        <v>0</v>
      </c>
      <c r="AK36" s="106">
        <f t="shared" si="36"/>
        <v>0</v>
      </c>
      <c r="AL36" s="106">
        <f t="shared" si="36"/>
        <v>0</v>
      </c>
      <c r="AM36" s="106">
        <f t="shared" si="36"/>
        <v>0</v>
      </c>
      <c r="AN36" s="106">
        <f t="shared" si="36"/>
        <v>0</v>
      </c>
      <c r="AO36" s="106">
        <f t="shared" si="36"/>
        <v>0</v>
      </c>
      <c r="AP36" s="106">
        <f t="shared" si="36"/>
        <v>0</v>
      </c>
      <c r="AQ36" s="106">
        <f t="shared" si="36"/>
        <v>0</v>
      </c>
      <c r="AR36" s="106">
        <f t="shared" si="36"/>
        <v>0</v>
      </c>
      <c r="AS36" s="349"/>
      <c r="AT36" s="352"/>
      <c r="AU36" s="121"/>
      <c r="AV36" s="121"/>
      <c r="AW36" s="155"/>
    </row>
    <row r="37" spans="1:49" s="100" customFormat="1" ht="168">
      <c r="A37" s="182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84" t="s">
        <v>351</v>
      </c>
      <c r="B38" s="18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82" t="s">
        <v>355</v>
      </c>
      <c r="B39" s="18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82" t="s">
        <v>359</v>
      </c>
      <c r="B40" s="18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82" t="s">
        <v>361</v>
      </c>
      <c r="B41" s="18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53" t="s">
        <v>365</v>
      </c>
      <c r="B42" s="356" t="s">
        <v>366</v>
      </c>
      <c r="C42" s="359" t="s">
        <v>269</v>
      </c>
      <c r="D42" s="327" t="s">
        <v>367</v>
      </c>
      <c r="E42" s="107" t="s">
        <v>42</v>
      </c>
      <c r="F42" s="123">
        <f>SUM(F43:F45)</f>
        <v>33940.800000000003</v>
      </c>
      <c r="G42" s="123">
        <f t="shared" ref="G42" si="41">SUM(G43:G45)</f>
        <v>556</v>
      </c>
      <c r="H42" s="123">
        <f>G42/F42*100</f>
        <v>1.6381464196483286</v>
      </c>
      <c r="I42" s="132">
        <f>I43+I44+I45</f>
        <v>556</v>
      </c>
      <c r="J42" s="132">
        <f>J43+J44+J45</f>
        <v>556</v>
      </c>
      <c r="K42" s="123">
        <f t="shared" ref="K42:K44" si="42">J42/I42*100</f>
        <v>100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43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4">U43+U44+U45</f>
        <v>2489</v>
      </c>
      <c r="V42" s="132">
        <f t="shared" si="44"/>
        <v>0</v>
      </c>
      <c r="W42" s="132">
        <f>V42/U42*100</f>
        <v>0</v>
      </c>
      <c r="X42" s="132">
        <f t="shared" si="44"/>
        <v>2628</v>
      </c>
      <c r="Y42" s="132">
        <f t="shared" si="44"/>
        <v>0</v>
      </c>
      <c r="Z42" s="132">
        <f>Y42/X42*100</f>
        <v>0</v>
      </c>
      <c r="AA42" s="132">
        <f t="shared" si="44"/>
        <v>3576</v>
      </c>
      <c r="AB42" s="132">
        <f t="shared" si="44"/>
        <v>0</v>
      </c>
      <c r="AC42" s="132">
        <f>AB42/AA42*100</f>
        <v>0</v>
      </c>
      <c r="AD42" s="132">
        <f t="shared" si="44"/>
        <v>2569</v>
      </c>
      <c r="AE42" s="132">
        <f t="shared" si="44"/>
        <v>0</v>
      </c>
      <c r="AF42" s="132">
        <f>AE42/AD42*100</f>
        <v>0</v>
      </c>
      <c r="AG42" s="132">
        <f t="shared" si="44"/>
        <v>2544</v>
      </c>
      <c r="AH42" s="132">
        <f t="shared" si="44"/>
        <v>0</v>
      </c>
      <c r="AI42" s="117">
        <f>AH42/AG42*100</f>
        <v>0</v>
      </c>
      <c r="AJ42" s="132">
        <f t="shared" si="44"/>
        <v>2984</v>
      </c>
      <c r="AK42" s="132">
        <f t="shared" si="44"/>
        <v>0</v>
      </c>
      <c r="AL42" s="132">
        <f t="shared" si="44"/>
        <v>0</v>
      </c>
      <c r="AM42" s="132">
        <f t="shared" si="44"/>
        <v>2265.6</v>
      </c>
      <c r="AN42" s="132">
        <f t="shared" si="44"/>
        <v>0</v>
      </c>
      <c r="AO42" s="132">
        <f t="shared" si="44"/>
        <v>0</v>
      </c>
      <c r="AP42" s="132">
        <f t="shared" si="44"/>
        <v>6599.2</v>
      </c>
      <c r="AQ42" s="104"/>
      <c r="AR42" s="104"/>
      <c r="AS42" s="324" t="s">
        <v>310</v>
      </c>
      <c r="AT42" s="362"/>
      <c r="AU42" s="121"/>
      <c r="AV42" s="121"/>
      <c r="AW42" s="155"/>
    </row>
    <row r="43" spans="1:49" s="31" customFormat="1" ht="36">
      <c r="A43" s="354"/>
      <c r="B43" s="357"/>
      <c r="C43" s="360"/>
      <c r="D43" s="328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42"/>
        <v>#DIV/0!</v>
      </c>
      <c r="L43" s="150">
        <v>2178</v>
      </c>
      <c r="M43" s="123">
        <v>0</v>
      </c>
      <c r="N43" s="138">
        <f t="shared" ref="N43:N44" si="45">M43/L43*100</f>
        <v>0</v>
      </c>
      <c r="O43" s="123">
        <v>1989</v>
      </c>
      <c r="P43" s="123">
        <v>0</v>
      </c>
      <c r="Q43" s="123">
        <f t="shared" si="43"/>
        <v>0</v>
      </c>
      <c r="R43" s="123">
        <v>3010</v>
      </c>
      <c r="S43" s="123">
        <v>0</v>
      </c>
      <c r="T43" s="132">
        <f t="shared" ref="T43:T44" si="46">S43/R43*100</f>
        <v>0</v>
      </c>
      <c r="U43" s="117">
        <v>2037</v>
      </c>
      <c r="V43" s="117">
        <v>0</v>
      </c>
      <c r="W43" s="132">
        <f t="shared" ref="W43:W44" si="47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25"/>
      <c r="AT43" s="363"/>
      <c r="AU43" s="121"/>
      <c r="AV43" s="121"/>
      <c r="AW43" s="155"/>
    </row>
    <row r="44" spans="1:49" s="31" customFormat="1" ht="12.75">
      <c r="A44" s="354"/>
      <c r="B44" s="357"/>
      <c r="C44" s="360"/>
      <c r="D44" s="328"/>
      <c r="E44" s="108" t="s">
        <v>44</v>
      </c>
      <c r="F44" s="123">
        <f t="shared" ref="F44:G45" si="48">I44+L44+O44+R44+U44+X44+AA44+AD44+AG44+AJ44+AM44+AP44</f>
        <v>3339.8999999999996</v>
      </c>
      <c r="G44" s="123">
        <f t="shared" si="48"/>
        <v>556</v>
      </c>
      <c r="H44" s="123">
        <f>G44/F44*100</f>
        <v>16.647205006137909</v>
      </c>
      <c r="I44" s="123">
        <v>556</v>
      </c>
      <c r="J44" s="123">
        <v>556</v>
      </c>
      <c r="K44" s="123">
        <f t="shared" si="42"/>
        <v>100</v>
      </c>
      <c r="L44" s="150">
        <v>250</v>
      </c>
      <c r="M44" s="123">
        <v>0</v>
      </c>
      <c r="N44" s="138">
        <f t="shared" si="45"/>
        <v>0</v>
      </c>
      <c r="O44" s="123">
        <v>253</v>
      </c>
      <c r="P44" s="123">
        <v>0</v>
      </c>
      <c r="Q44" s="123">
        <f t="shared" si="43"/>
        <v>0</v>
      </c>
      <c r="R44" s="123">
        <v>50</v>
      </c>
      <c r="S44" s="123">
        <v>0</v>
      </c>
      <c r="T44" s="132">
        <f t="shared" si="46"/>
        <v>0</v>
      </c>
      <c r="U44" s="117">
        <v>452</v>
      </c>
      <c r="V44" s="117">
        <v>0</v>
      </c>
      <c r="W44" s="132">
        <f t="shared" si="47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25"/>
      <c r="AT44" s="363"/>
      <c r="AU44" s="121"/>
      <c r="AV44" s="121"/>
      <c r="AW44" s="155"/>
    </row>
    <row r="45" spans="1:49" s="31" customFormat="1" ht="24">
      <c r="A45" s="355"/>
      <c r="B45" s="358"/>
      <c r="C45" s="361"/>
      <c r="D45" s="334"/>
      <c r="E45" s="109" t="s">
        <v>257</v>
      </c>
      <c r="F45" s="123">
        <f t="shared" si="48"/>
        <v>0</v>
      </c>
      <c r="G45" s="123">
        <f t="shared" si="48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26"/>
      <c r="AT45" s="364"/>
      <c r="AU45" s="121"/>
      <c r="AV45" s="121"/>
      <c r="AW45" s="155"/>
    </row>
    <row r="46" spans="1:49" s="31" customFormat="1" ht="15.75">
      <c r="A46" s="297" t="s">
        <v>368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9"/>
      <c r="AU46" s="121"/>
      <c r="AV46" s="121"/>
      <c r="AW46" s="155"/>
    </row>
    <row r="47" spans="1:49" s="31" customFormat="1" ht="15.75">
      <c r="A47" s="297" t="s">
        <v>369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9"/>
      <c r="AU47" s="121"/>
      <c r="AV47" s="121"/>
      <c r="AW47" s="155"/>
    </row>
    <row r="48" spans="1:49" s="100" customFormat="1" ht="12.75">
      <c r="A48" s="391" t="s">
        <v>270</v>
      </c>
      <c r="B48" s="392"/>
      <c r="C48" s="392"/>
      <c r="D48" s="393"/>
      <c r="E48" s="202" t="s">
        <v>42</v>
      </c>
      <c r="F48" s="203">
        <f>F49+F50+F51</f>
        <v>599.4</v>
      </c>
      <c r="G48" s="203">
        <f t="shared" ref="G48:AR48" si="49">G49+G50+G51</f>
        <v>0</v>
      </c>
      <c r="H48" s="203">
        <f>G48/F48*100</f>
        <v>0</v>
      </c>
      <c r="I48" s="203">
        <f t="shared" si="49"/>
        <v>0</v>
      </c>
      <c r="J48" s="203">
        <f t="shared" si="49"/>
        <v>0</v>
      </c>
      <c r="K48" s="203">
        <v>0</v>
      </c>
      <c r="L48" s="203">
        <f t="shared" si="49"/>
        <v>0</v>
      </c>
      <c r="M48" s="203">
        <f t="shared" si="49"/>
        <v>0</v>
      </c>
      <c r="N48" s="203">
        <v>0</v>
      </c>
      <c r="O48" s="203">
        <f t="shared" si="49"/>
        <v>119.8</v>
      </c>
      <c r="P48" s="203">
        <f t="shared" si="49"/>
        <v>0</v>
      </c>
      <c r="Q48" s="203">
        <f>P48/O48*100</f>
        <v>0</v>
      </c>
      <c r="R48" s="203">
        <f t="shared" si="49"/>
        <v>0</v>
      </c>
      <c r="S48" s="203">
        <f t="shared" si="49"/>
        <v>0</v>
      </c>
      <c r="T48" s="203">
        <v>0</v>
      </c>
      <c r="U48" s="203">
        <f t="shared" si="49"/>
        <v>0</v>
      </c>
      <c r="V48" s="203">
        <f t="shared" si="49"/>
        <v>0</v>
      </c>
      <c r="W48" s="203">
        <f t="shared" si="49"/>
        <v>0</v>
      </c>
      <c r="X48" s="203">
        <f t="shared" si="49"/>
        <v>179.7</v>
      </c>
      <c r="Y48" s="203">
        <f t="shared" si="49"/>
        <v>0</v>
      </c>
      <c r="Z48" s="203">
        <f t="shared" si="49"/>
        <v>0</v>
      </c>
      <c r="AA48" s="203">
        <f t="shared" si="49"/>
        <v>0</v>
      </c>
      <c r="AB48" s="203">
        <f t="shared" si="49"/>
        <v>0</v>
      </c>
      <c r="AC48" s="203">
        <f t="shared" si="49"/>
        <v>0</v>
      </c>
      <c r="AD48" s="203">
        <f t="shared" si="49"/>
        <v>0</v>
      </c>
      <c r="AE48" s="203">
        <f t="shared" si="49"/>
        <v>0</v>
      </c>
      <c r="AF48" s="203">
        <f t="shared" si="49"/>
        <v>0</v>
      </c>
      <c r="AG48" s="203">
        <f t="shared" si="49"/>
        <v>179.7</v>
      </c>
      <c r="AH48" s="203">
        <f t="shared" si="49"/>
        <v>0</v>
      </c>
      <c r="AI48" s="203">
        <f t="shared" si="49"/>
        <v>0</v>
      </c>
      <c r="AJ48" s="203">
        <f t="shared" si="49"/>
        <v>0</v>
      </c>
      <c r="AK48" s="203">
        <f t="shared" si="49"/>
        <v>0</v>
      </c>
      <c r="AL48" s="203">
        <f t="shared" si="49"/>
        <v>0</v>
      </c>
      <c r="AM48" s="203">
        <f t="shared" si="49"/>
        <v>120.2</v>
      </c>
      <c r="AN48" s="203">
        <f t="shared" si="49"/>
        <v>0</v>
      </c>
      <c r="AO48" s="203">
        <f t="shared" si="49"/>
        <v>0</v>
      </c>
      <c r="AP48" s="203">
        <f t="shared" si="49"/>
        <v>0</v>
      </c>
      <c r="AQ48" s="203">
        <f t="shared" si="49"/>
        <v>0</v>
      </c>
      <c r="AR48" s="203">
        <f t="shared" si="49"/>
        <v>0</v>
      </c>
      <c r="AS48" s="309"/>
      <c r="AT48" s="350"/>
      <c r="AU48" s="121"/>
      <c r="AV48" s="121"/>
      <c r="AW48" s="155"/>
    </row>
    <row r="49" spans="1:49" s="100" customFormat="1" ht="36">
      <c r="A49" s="394"/>
      <c r="B49" s="395"/>
      <c r="C49" s="395"/>
      <c r="D49" s="396"/>
      <c r="E49" s="204" t="s">
        <v>3</v>
      </c>
      <c r="F49" s="203">
        <f>F57</f>
        <v>0</v>
      </c>
      <c r="G49" s="203">
        <f t="shared" ref="G49:AR51" si="50">G57</f>
        <v>0</v>
      </c>
      <c r="H49" s="203">
        <v>0</v>
      </c>
      <c r="I49" s="203">
        <f t="shared" si="50"/>
        <v>0</v>
      </c>
      <c r="J49" s="203">
        <f t="shared" si="50"/>
        <v>0</v>
      </c>
      <c r="K49" s="203">
        <v>0</v>
      </c>
      <c r="L49" s="203">
        <f t="shared" si="50"/>
        <v>0</v>
      </c>
      <c r="M49" s="203">
        <f t="shared" si="50"/>
        <v>0</v>
      </c>
      <c r="N49" s="203">
        <v>0</v>
      </c>
      <c r="O49" s="203">
        <f t="shared" si="50"/>
        <v>0</v>
      </c>
      <c r="P49" s="203">
        <f t="shared" si="50"/>
        <v>0</v>
      </c>
      <c r="Q49" s="203">
        <v>0</v>
      </c>
      <c r="R49" s="203">
        <f t="shared" si="50"/>
        <v>0</v>
      </c>
      <c r="S49" s="203">
        <f t="shared" si="50"/>
        <v>0</v>
      </c>
      <c r="T49" s="203">
        <f t="shared" si="50"/>
        <v>0</v>
      </c>
      <c r="U49" s="203">
        <f t="shared" si="50"/>
        <v>0</v>
      </c>
      <c r="V49" s="203">
        <f t="shared" si="50"/>
        <v>0</v>
      </c>
      <c r="W49" s="203">
        <f t="shared" si="50"/>
        <v>0</v>
      </c>
      <c r="X49" s="203">
        <f t="shared" si="50"/>
        <v>0</v>
      </c>
      <c r="Y49" s="203">
        <f t="shared" si="50"/>
        <v>0</v>
      </c>
      <c r="Z49" s="203">
        <f t="shared" si="50"/>
        <v>0</v>
      </c>
      <c r="AA49" s="203">
        <f t="shared" si="50"/>
        <v>0</v>
      </c>
      <c r="AB49" s="203">
        <f t="shared" si="50"/>
        <v>0</v>
      </c>
      <c r="AC49" s="203">
        <f t="shared" si="50"/>
        <v>0</v>
      </c>
      <c r="AD49" s="203">
        <f t="shared" si="50"/>
        <v>0</v>
      </c>
      <c r="AE49" s="203">
        <f t="shared" si="50"/>
        <v>0</v>
      </c>
      <c r="AF49" s="203">
        <f t="shared" si="50"/>
        <v>0</v>
      </c>
      <c r="AG49" s="203">
        <f t="shared" si="50"/>
        <v>0</v>
      </c>
      <c r="AH49" s="203">
        <f t="shared" si="50"/>
        <v>0</v>
      </c>
      <c r="AI49" s="203">
        <f t="shared" si="50"/>
        <v>0</v>
      </c>
      <c r="AJ49" s="203">
        <f t="shared" si="50"/>
        <v>0</v>
      </c>
      <c r="AK49" s="203">
        <f t="shared" si="50"/>
        <v>0</v>
      </c>
      <c r="AL49" s="203">
        <f t="shared" si="50"/>
        <v>0</v>
      </c>
      <c r="AM49" s="203">
        <f t="shared" si="50"/>
        <v>0</v>
      </c>
      <c r="AN49" s="203">
        <f t="shared" si="50"/>
        <v>0</v>
      </c>
      <c r="AO49" s="203">
        <f t="shared" si="50"/>
        <v>0</v>
      </c>
      <c r="AP49" s="203">
        <f t="shared" si="50"/>
        <v>0</v>
      </c>
      <c r="AQ49" s="203">
        <f t="shared" si="50"/>
        <v>0</v>
      </c>
      <c r="AR49" s="203">
        <f t="shared" si="50"/>
        <v>0</v>
      </c>
      <c r="AS49" s="310"/>
      <c r="AT49" s="351"/>
      <c r="AU49" s="121"/>
      <c r="AV49" s="121"/>
      <c r="AW49" s="155"/>
    </row>
    <row r="50" spans="1:49" s="100" customFormat="1" ht="24">
      <c r="A50" s="394"/>
      <c r="B50" s="395"/>
      <c r="C50" s="395"/>
      <c r="D50" s="396"/>
      <c r="E50" s="204" t="s">
        <v>44</v>
      </c>
      <c r="F50" s="203">
        <f>F58</f>
        <v>599.4</v>
      </c>
      <c r="G50" s="203">
        <f t="shared" si="50"/>
        <v>0</v>
      </c>
      <c r="H50" s="203">
        <f>G50/F50*100</f>
        <v>0</v>
      </c>
      <c r="I50" s="203">
        <f t="shared" si="50"/>
        <v>0</v>
      </c>
      <c r="J50" s="203">
        <f t="shared" si="50"/>
        <v>0</v>
      </c>
      <c r="K50" s="203">
        <v>0</v>
      </c>
      <c r="L50" s="203">
        <f t="shared" si="50"/>
        <v>0</v>
      </c>
      <c r="M50" s="203">
        <f t="shared" si="50"/>
        <v>0</v>
      </c>
      <c r="N50" s="203">
        <v>0</v>
      </c>
      <c r="O50" s="203">
        <f t="shared" si="50"/>
        <v>119.8</v>
      </c>
      <c r="P50" s="203">
        <f t="shared" si="50"/>
        <v>0</v>
      </c>
      <c r="Q50" s="203">
        <f t="shared" ref="Q50" si="51">P50/O50*100</f>
        <v>0</v>
      </c>
      <c r="R50" s="203">
        <f t="shared" si="50"/>
        <v>0</v>
      </c>
      <c r="S50" s="203">
        <f t="shared" si="50"/>
        <v>0</v>
      </c>
      <c r="T50" s="203">
        <f t="shared" si="50"/>
        <v>0</v>
      </c>
      <c r="U50" s="203">
        <f t="shared" si="50"/>
        <v>0</v>
      </c>
      <c r="V50" s="203">
        <f t="shared" si="50"/>
        <v>0</v>
      </c>
      <c r="W50" s="203">
        <f t="shared" si="50"/>
        <v>0</v>
      </c>
      <c r="X50" s="203">
        <f t="shared" si="50"/>
        <v>179.7</v>
      </c>
      <c r="Y50" s="203">
        <f t="shared" si="50"/>
        <v>0</v>
      </c>
      <c r="Z50" s="203">
        <f t="shared" si="50"/>
        <v>0</v>
      </c>
      <c r="AA50" s="203">
        <f t="shared" si="50"/>
        <v>0</v>
      </c>
      <c r="AB50" s="203">
        <f t="shared" si="50"/>
        <v>0</v>
      </c>
      <c r="AC50" s="203">
        <f t="shared" si="50"/>
        <v>0</v>
      </c>
      <c r="AD50" s="203">
        <f t="shared" si="50"/>
        <v>0</v>
      </c>
      <c r="AE50" s="203">
        <f t="shared" si="50"/>
        <v>0</v>
      </c>
      <c r="AF50" s="203">
        <f t="shared" si="50"/>
        <v>0</v>
      </c>
      <c r="AG50" s="203">
        <f t="shared" si="50"/>
        <v>179.7</v>
      </c>
      <c r="AH50" s="203">
        <f t="shared" si="50"/>
        <v>0</v>
      </c>
      <c r="AI50" s="203">
        <f t="shared" si="50"/>
        <v>0</v>
      </c>
      <c r="AJ50" s="203">
        <f t="shared" si="50"/>
        <v>0</v>
      </c>
      <c r="AK50" s="203">
        <f t="shared" si="50"/>
        <v>0</v>
      </c>
      <c r="AL50" s="203">
        <f t="shared" si="50"/>
        <v>0</v>
      </c>
      <c r="AM50" s="203">
        <f t="shared" si="50"/>
        <v>120.2</v>
      </c>
      <c r="AN50" s="203">
        <f t="shared" si="50"/>
        <v>0</v>
      </c>
      <c r="AO50" s="203">
        <f t="shared" si="50"/>
        <v>0</v>
      </c>
      <c r="AP50" s="203">
        <f t="shared" si="50"/>
        <v>0</v>
      </c>
      <c r="AQ50" s="203">
        <f t="shared" si="50"/>
        <v>0</v>
      </c>
      <c r="AR50" s="203">
        <f t="shared" si="50"/>
        <v>0</v>
      </c>
      <c r="AS50" s="310"/>
      <c r="AT50" s="351"/>
      <c r="AU50" s="121"/>
      <c r="AV50" s="121"/>
      <c r="AW50" s="155"/>
    </row>
    <row r="51" spans="1:49" s="100" customFormat="1" ht="24">
      <c r="A51" s="397"/>
      <c r="B51" s="398"/>
      <c r="C51" s="398"/>
      <c r="D51" s="399"/>
      <c r="E51" s="205" t="s">
        <v>257</v>
      </c>
      <c r="F51" s="203">
        <f>F59</f>
        <v>0</v>
      </c>
      <c r="G51" s="203">
        <f t="shared" si="50"/>
        <v>0</v>
      </c>
      <c r="H51" s="203">
        <v>0</v>
      </c>
      <c r="I51" s="203">
        <f t="shared" si="50"/>
        <v>0</v>
      </c>
      <c r="J51" s="203">
        <f t="shared" si="50"/>
        <v>0</v>
      </c>
      <c r="K51" s="203">
        <f t="shared" si="50"/>
        <v>0</v>
      </c>
      <c r="L51" s="203">
        <f t="shared" si="50"/>
        <v>0</v>
      </c>
      <c r="M51" s="203">
        <f t="shared" si="50"/>
        <v>0</v>
      </c>
      <c r="N51" s="203">
        <v>0</v>
      </c>
      <c r="O51" s="203">
        <f t="shared" si="50"/>
        <v>0</v>
      </c>
      <c r="P51" s="203">
        <f t="shared" si="50"/>
        <v>0</v>
      </c>
      <c r="Q51" s="203">
        <f t="shared" si="50"/>
        <v>0</v>
      </c>
      <c r="R51" s="203">
        <f t="shared" si="50"/>
        <v>0</v>
      </c>
      <c r="S51" s="203">
        <f t="shared" si="50"/>
        <v>0</v>
      </c>
      <c r="T51" s="203">
        <f t="shared" si="50"/>
        <v>0</v>
      </c>
      <c r="U51" s="203">
        <f t="shared" si="50"/>
        <v>0</v>
      </c>
      <c r="V51" s="203">
        <f t="shared" si="50"/>
        <v>0</v>
      </c>
      <c r="W51" s="203">
        <f t="shared" si="50"/>
        <v>0</v>
      </c>
      <c r="X51" s="203">
        <f t="shared" si="50"/>
        <v>0</v>
      </c>
      <c r="Y51" s="203">
        <f t="shared" si="50"/>
        <v>0</v>
      </c>
      <c r="Z51" s="203">
        <f t="shared" si="50"/>
        <v>0</v>
      </c>
      <c r="AA51" s="203">
        <f t="shared" si="50"/>
        <v>0</v>
      </c>
      <c r="AB51" s="203">
        <f t="shared" si="50"/>
        <v>0</v>
      </c>
      <c r="AC51" s="203">
        <f t="shared" si="50"/>
        <v>0</v>
      </c>
      <c r="AD51" s="203">
        <f t="shared" si="50"/>
        <v>0</v>
      </c>
      <c r="AE51" s="203">
        <f t="shared" si="50"/>
        <v>0</v>
      </c>
      <c r="AF51" s="203">
        <f t="shared" si="50"/>
        <v>0</v>
      </c>
      <c r="AG51" s="203">
        <f t="shared" si="50"/>
        <v>0</v>
      </c>
      <c r="AH51" s="203">
        <f t="shared" si="50"/>
        <v>0</v>
      </c>
      <c r="AI51" s="203">
        <f t="shared" si="50"/>
        <v>0</v>
      </c>
      <c r="AJ51" s="203">
        <f t="shared" si="50"/>
        <v>0</v>
      </c>
      <c r="AK51" s="203">
        <f t="shared" si="50"/>
        <v>0</v>
      </c>
      <c r="AL51" s="203">
        <f t="shared" si="50"/>
        <v>0</v>
      </c>
      <c r="AM51" s="203">
        <f t="shared" si="50"/>
        <v>0</v>
      </c>
      <c r="AN51" s="203">
        <f t="shared" si="50"/>
        <v>0</v>
      </c>
      <c r="AO51" s="203">
        <f t="shared" si="50"/>
        <v>0</v>
      </c>
      <c r="AP51" s="203">
        <f t="shared" si="50"/>
        <v>0</v>
      </c>
      <c r="AQ51" s="203">
        <f t="shared" si="50"/>
        <v>0</v>
      </c>
      <c r="AR51" s="203">
        <f t="shared" si="50"/>
        <v>0</v>
      </c>
      <c r="AS51" s="311"/>
      <c r="AT51" s="352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311</v>
      </c>
      <c r="AT52" s="198"/>
      <c r="AU52" s="121"/>
      <c r="AV52" s="121"/>
      <c r="AW52" s="155"/>
    </row>
    <row r="53" spans="1:49" s="100" customFormat="1" ht="264">
      <c r="A53" s="199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01" t="s">
        <v>306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200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312</v>
      </c>
      <c r="AT54" s="134"/>
      <c r="AU54" s="121"/>
      <c r="AV54" s="121"/>
      <c r="AW54" s="155"/>
    </row>
    <row r="55" spans="1:49" s="100" customFormat="1" ht="84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313</v>
      </c>
      <c r="AT55" s="134"/>
      <c r="AU55" s="121"/>
      <c r="AV55" s="121"/>
      <c r="AW55" s="155"/>
    </row>
    <row r="56" spans="1:49" s="31" customFormat="1" ht="12.75">
      <c r="A56" s="315" t="s">
        <v>382</v>
      </c>
      <c r="B56" s="356" t="s">
        <v>259</v>
      </c>
      <c r="C56" s="400" t="s">
        <v>271</v>
      </c>
      <c r="D56" s="403" t="s">
        <v>383</v>
      </c>
      <c r="E56" s="107" t="s">
        <v>42</v>
      </c>
      <c r="F56" s="104">
        <f>SUM(F57:F59)</f>
        <v>599.4</v>
      </c>
      <c r="G56" s="104">
        <f t="shared" ref="G56" si="52">SUM(G57:G59)</f>
        <v>0</v>
      </c>
      <c r="H56" s="104">
        <f>G56/F56*100</f>
        <v>0</v>
      </c>
      <c r="I56" s="207">
        <f t="shared" ref="I56:AP56" si="53">I57+I58+I59</f>
        <v>0</v>
      </c>
      <c r="J56" s="207">
        <f t="shared" si="53"/>
        <v>0</v>
      </c>
      <c r="K56" s="104">
        <v>0</v>
      </c>
      <c r="L56" s="207">
        <f t="shared" si="53"/>
        <v>0</v>
      </c>
      <c r="M56" s="207">
        <f t="shared" si="53"/>
        <v>0</v>
      </c>
      <c r="N56" s="207">
        <v>0</v>
      </c>
      <c r="O56" s="207">
        <f t="shared" si="53"/>
        <v>119.8</v>
      </c>
      <c r="P56" s="207">
        <f t="shared" si="53"/>
        <v>0</v>
      </c>
      <c r="Q56" s="104">
        <f t="shared" ref="Q56:Q58" si="54">P56/O56*100</f>
        <v>0</v>
      </c>
      <c r="R56" s="207">
        <f t="shared" si="53"/>
        <v>0</v>
      </c>
      <c r="S56" s="207">
        <f t="shared" si="53"/>
        <v>0</v>
      </c>
      <c r="T56" s="207">
        <f t="shared" si="53"/>
        <v>0</v>
      </c>
      <c r="U56" s="207">
        <f t="shared" si="53"/>
        <v>0</v>
      </c>
      <c r="V56" s="207">
        <f t="shared" si="53"/>
        <v>0</v>
      </c>
      <c r="W56" s="104">
        <v>0</v>
      </c>
      <c r="X56" s="207">
        <f t="shared" si="53"/>
        <v>179.7</v>
      </c>
      <c r="Y56" s="207">
        <f t="shared" si="53"/>
        <v>0</v>
      </c>
      <c r="Z56" s="207">
        <f t="shared" si="53"/>
        <v>0</v>
      </c>
      <c r="AA56" s="207">
        <f t="shared" si="53"/>
        <v>0</v>
      </c>
      <c r="AB56" s="207">
        <f t="shared" si="53"/>
        <v>0</v>
      </c>
      <c r="AC56" s="207">
        <f t="shared" si="53"/>
        <v>0</v>
      </c>
      <c r="AD56" s="207">
        <f t="shared" si="53"/>
        <v>0</v>
      </c>
      <c r="AE56" s="207">
        <f t="shared" si="53"/>
        <v>0</v>
      </c>
      <c r="AF56" s="207">
        <f t="shared" si="53"/>
        <v>0</v>
      </c>
      <c r="AG56" s="207">
        <f t="shared" si="53"/>
        <v>179.7</v>
      </c>
      <c r="AH56" s="207">
        <f t="shared" si="53"/>
        <v>0</v>
      </c>
      <c r="AI56" s="105">
        <f>AH56/AG56*100</f>
        <v>0</v>
      </c>
      <c r="AJ56" s="207">
        <f t="shared" si="53"/>
        <v>0</v>
      </c>
      <c r="AK56" s="207">
        <f t="shared" si="53"/>
        <v>0</v>
      </c>
      <c r="AL56" s="207">
        <f t="shared" si="53"/>
        <v>0</v>
      </c>
      <c r="AM56" s="207">
        <f t="shared" si="53"/>
        <v>120.2</v>
      </c>
      <c r="AN56" s="207">
        <f t="shared" si="53"/>
        <v>0</v>
      </c>
      <c r="AO56" s="207">
        <f t="shared" si="53"/>
        <v>0</v>
      </c>
      <c r="AP56" s="207">
        <f t="shared" si="53"/>
        <v>0</v>
      </c>
      <c r="AQ56" s="104"/>
      <c r="AR56" s="104"/>
      <c r="AS56" s="369" t="s">
        <v>314</v>
      </c>
      <c r="AT56" s="388"/>
      <c r="AU56" s="121"/>
      <c r="AV56" s="121"/>
      <c r="AW56" s="155"/>
    </row>
    <row r="57" spans="1:49" s="31" customFormat="1" ht="36">
      <c r="A57" s="316"/>
      <c r="B57" s="357"/>
      <c r="C57" s="401"/>
      <c r="D57" s="404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70"/>
      <c r="AT57" s="389"/>
      <c r="AU57" s="121"/>
      <c r="AV57" s="121"/>
      <c r="AW57" s="155"/>
    </row>
    <row r="58" spans="1:49" s="31" customFormat="1" ht="12.75">
      <c r="A58" s="316"/>
      <c r="B58" s="357"/>
      <c r="C58" s="401"/>
      <c r="D58" s="404"/>
      <c r="E58" s="108" t="s">
        <v>44</v>
      </c>
      <c r="F58" s="104">
        <f t="shared" ref="F58:G59" si="55">I58+L58+O58+R58+U58+X58+AA58+AD58+AG58+AJ58+AM58+AP58</f>
        <v>599.4</v>
      </c>
      <c r="G58" s="104">
        <f t="shared" si="55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v>119.8</v>
      </c>
      <c r="P58" s="104">
        <v>0</v>
      </c>
      <c r="Q58" s="104">
        <f t="shared" si="54"/>
        <v>0</v>
      </c>
      <c r="R58" s="104">
        <v>0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70"/>
      <c r="AT58" s="389"/>
      <c r="AU58" s="121"/>
      <c r="AV58" s="121"/>
      <c r="AW58" s="155"/>
    </row>
    <row r="59" spans="1:49" s="31" customFormat="1" ht="24">
      <c r="A59" s="317"/>
      <c r="B59" s="358"/>
      <c r="C59" s="402"/>
      <c r="D59" s="405"/>
      <c r="E59" s="109" t="s">
        <v>257</v>
      </c>
      <c r="F59" s="104">
        <f t="shared" si="55"/>
        <v>0</v>
      </c>
      <c r="G59" s="104">
        <f t="shared" si="55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71"/>
      <c r="AT59" s="390"/>
      <c r="AU59" s="121"/>
      <c r="AV59" s="121"/>
      <c r="AW59" s="155"/>
    </row>
    <row r="60" spans="1:49" s="31" customFormat="1" ht="15.75">
      <c r="A60" s="297" t="s">
        <v>384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9"/>
      <c r="AU60" s="121"/>
      <c r="AV60" s="121"/>
      <c r="AW60" s="155"/>
    </row>
    <row r="61" spans="1:49" s="31" customFormat="1" ht="15.75">
      <c r="A61" s="297" t="s">
        <v>385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9"/>
      <c r="AU61" s="121"/>
      <c r="AV61" s="121"/>
      <c r="AW61" s="155"/>
    </row>
    <row r="62" spans="1:49" s="100" customFormat="1" ht="12.75">
      <c r="A62" s="338" t="s">
        <v>272</v>
      </c>
      <c r="B62" s="339"/>
      <c r="C62" s="339"/>
      <c r="D62" s="340"/>
      <c r="E62" s="129" t="s">
        <v>42</v>
      </c>
      <c r="F62" s="106">
        <f>F63+F64+F65</f>
        <v>10628.100000000002</v>
      </c>
      <c r="G62" s="106">
        <f t="shared" ref="G62:AP62" si="56">G63+G64+G65</f>
        <v>0</v>
      </c>
      <c r="H62" s="106">
        <f>G62/F62*100</f>
        <v>0</v>
      </c>
      <c r="I62" s="106">
        <f t="shared" si="56"/>
        <v>0</v>
      </c>
      <c r="J62" s="106">
        <f t="shared" si="56"/>
        <v>0</v>
      </c>
      <c r="K62" s="106">
        <v>0</v>
      </c>
      <c r="L62" s="106">
        <f t="shared" si="56"/>
        <v>2337.5</v>
      </c>
      <c r="M62" s="106">
        <f t="shared" si="56"/>
        <v>0</v>
      </c>
      <c r="N62" s="106">
        <f t="shared" si="56"/>
        <v>0</v>
      </c>
      <c r="O62" s="106">
        <f t="shared" si="56"/>
        <v>2141.4</v>
      </c>
      <c r="P62" s="106">
        <f t="shared" si="56"/>
        <v>0</v>
      </c>
      <c r="Q62" s="106">
        <f>P62/O62*100</f>
        <v>0</v>
      </c>
      <c r="R62" s="106">
        <f t="shared" si="56"/>
        <v>328.59999999999997</v>
      </c>
      <c r="S62" s="106">
        <f t="shared" si="56"/>
        <v>0</v>
      </c>
      <c r="T62" s="106">
        <f>S62/R62*100</f>
        <v>0</v>
      </c>
      <c r="U62" s="106">
        <f t="shared" si="56"/>
        <v>1220.6000000000001</v>
      </c>
      <c r="V62" s="106">
        <f t="shared" si="56"/>
        <v>0</v>
      </c>
      <c r="W62" s="106">
        <f t="shared" si="56"/>
        <v>0</v>
      </c>
      <c r="X62" s="106">
        <f t="shared" si="56"/>
        <v>1288.6000000000001</v>
      </c>
      <c r="Y62" s="106">
        <f t="shared" si="56"/>
        <v>0</v>
      </c>
      <c r="Z62" s="106">
        <f t="shared" si="56"/>
        <v>0</v>
      </c>
      <c r="AA62" s="106">
        <f t="shared" si="56"/>
        <v>1075.6000000000001</v>
      </c>
      <c r="AB62" s="106">
        <f t="shared" si="56"/>
        <v>0</v>
      </c>
      <c r="AC62" s="106">
        <f t="shared" si="56"/>
        <v>0</v>
      </c>
      <c r="AD62" s="106">
        <f t="shared" si="56"/>
        <v>150.6</v>
      </c>
      <c r="AE62" s="106">
        <f t="shared" si="56"/>
        <v>0</v>
      </c>
      <c r="AF62" s="106">
        <f t="shared" ref="AF62" si="57">AE62/AD62*100</f>
        <v>0</v>
      </c>
      <c r="AG62" s="106">
        <f t="shared" si="56"/>
        <v>200.6</v>
      </c>
      <c r="AH62" s="106">
        <f t="shared" si="56"/>
        <v>0</v>
      </c>
      <c r="AI62" s="106">
        <f t="shared" si="56"/>
        <v>0</v>
      </c>
      <c r="AJ62" s="106">
        <f t="shared" si="56"/>
        <v>162.6</v>
      </c>
      <c r="AK62" s="106">
        <f t="shared" si="56"/>
        <v>0</v>
      </c>
      <c r="AL62" s="106">
        <f t="shared" si="56"/>
        <v>0</v>
      </c>
      <c r="AM62" s="106">
        <f t="shared" si="56"/>
        <v>1350.0000000000002</v>
      </c>
      <c r="AN62" s="106">
        <f t="shared" si="56"/>
        <v>0</v>
      </c>
      <c r="AO62" s="106">
        <f t="shared" si="56"/>
        <v>0</v>
      </c>
      <c r="AP62" s="106">
        <f t="shared" si="56"/>
        <v>372</v>
      </c>
      <c r="AQ62" s="106">
        <f>AQ92+AQ100</f>
        <v>0</v>
      </c>
      <c r="AR62" s="106">
        <f>AR92+AR100</f>
        <v>0</v>
      </c>
      <c r="AS62" s="309"/>
      <c r="AT62" s="350"/>
      <c r="AU62" s="121"/>
      <c r="AV62" s="121"/>
      <c r="AW62" s="155"/>
    </row>
    <row r="63" spans="1:49" s="100" customFormat="1" ht="36">
      <c r="A63" s="341"/>
      <c r="B63" s="342"/>
      <c r="C63" s="342"/>
      <c r="D63" s="343"/>
      <c r="E63" s="111" t="s">
        <v>3</v>
      </c>
      <c r="F63" s="106">
        <f>F70+F74+F78</f>
        <v>0</v>
      </c>
      <c r="G63" s="106">
        <f t="shared" ref="G63:AR65" si="58">G70+G74+G78</f>
        <v>0</v>
      </c>
      <c r="H63" s="106">
        <v>0</v>
      </c>
      <c r="I63" s="106">
        <f t="shared" si="58"/>
        <v>0</v>
      </c>
      <c r="J63" s="106">
        <f t="shared" si="58"/>
        <v>0</v>
      </c>
      <c r="K63" s="106">
        <v>0</v>
      </c>
      <c r="L63" s="106">
        <f t="shared" si="58"/>
        <v>0</v>
      </c>
      <c r="M63" s="106">
        <f t="shared" si="58"/>
        <v>0</v>
      </c>
      <c r="N63" s="106">
        <f t="shared" si="58"/>
        <v>0</v>
      </c>
      <c r="O63" s="106">
        <f t="shared" si="58"/>
        <v>0</v>
      </c>
      <c r="P63" s="106">
        <f t="shared" si="58"/>
        <v>0</v>
      </c>
      <c r="Q63" s="106">
        <v>0</v>
      </c>
      <c r="R63" s="106">
        <f t="shared" si="58"/>
        <v>0</v>
      </c>
      <c r="S63" s="106">
        <f t="shared" si="58"/>
        <v>0</v>
      </c>
      <c r="T63" s="106">
        <v>0</v>
      </c>
      <c r="U63" s="106">
        <f t="shared" si="58"/>
        <v>0</v>
      </c>
      <c r="V63" s="106">
        <f t="shared" si="58"/>
        <v>0</v>
      </c>
      <c r="W63" s="106">
        <f t="shared" si="58"/>
        <v>0</v>
      </c>
      <c r="X63" s="106">
        <f t="shared" si="58"/>
        <v>0</v>
      </c>
      <c r="Y63" s="106">
        <f t="shared" si="58"/>
        <v>0</v>
      </c>
      <c r="Z63" s="106">
        <f t="shared" si="58"/>
        <v>0</v>
      </c>
      <c r="AA63" s="106">
        <f t="shared" si="58"/>
        <v>0</v>
      </c>
      <c r="AB63" s="106">
        <f t="shared" si="58"/>
        <v>0</v>
      </c>
      <c r="AC63" s="106">
        <f t="shared" si="58"/>
        <v>0</v>
      </c>
      <c r="AD63" s="106">
        <f t="shared" si="58"/>
        <v>0</v>
      </c>
      <c r="AE63" s="106">
        <f t="shared" si="58"/>
        <v>0</v>
      </c>
      <c r="AF63" s="106">
        <f t="shared" si="58"/>
        <v>0</v>
      </c>
      <c r="AG63" s="106">
        <f t="shared" si="58"/>
        <v>0</v>
      </c>
      <c r="AH63" s="106">
        <f t="shared" si="58"/>
        <v>0</v>
      </c>
      <c r="AI63" s="106">
        <f t="shared" si="58"/>
        <v>0</v>
      </c>
      <c r="AJ63" s="106">
        <f t="shared" si="58"/>
        <v>0</v>
      </c>
      <c r="AK63" s="106">
        <f t="shared" si="58"/>
        <v>0</v>
      </c>
      <c r="AL63" s="106">
        <f t="shared" si="58"/>
        <v>0</v>
      </c>
      <c r="AM63" s="106">
        <f t="shared" si="58"/>
        <v>0</v>
      </c>
      <c r="AN63" s="106">
        <f t="shared" si="58"/>
        <v>0</v>
      </c>
      <c r="AO63" s="106">
        <f t="shared" si="58"/>
        <v>0</v>
      </c>
      <c r="AP63" s="106">
        <f t="shared" si="58"/>
        <v>0</v>
      </c>
      <c r="AQ63" s="106">
        <f t="shared" si="58"/>
        <v>0</v>
      </c>
      <c r="AR63" s="106">
        <f t="shared" si="58"/>
        <v>0</v>
      </c>
      <c r="AS63" s="310"/>
      <c r="AT63" s="351"/>
      <c r="AU63" s="121"/>
      <c r="AV63" s="121"/>
      <c r="AW63" s="155"/>
    </row>
    <row r="64" spans="1:49" s="100" customFormat="1" ht="24">
      <c r="A64" s="341"/>
      <c r="B64" s="342"/>
      <c r="C64" s="342"/>
      <c r="D64" s="343"/>
      <c r="E64" s="111" t="s">
        <v>44</v>
      </c>
      <c r="F64" s="106">
        <f>F71+F75+F79</f>
        <v>10628.100000000002</v>
      </c>
      <c r="G64" s="106">
        <f t="shared" si="58"/>
        <v>0</v>
      </c>
      <c r="H64" s="106">
        <f>G64/F64*100</f>
        <v>0</v>
      </c>
      <c r="I64" s="106">
        <f t="shared" si="58"/>
        <v>0</v>
      </c>
      <c r="J64" s="106">
        <f t="shared" si="58"/>
        <v>0</v>
      </c>
      <c r="K64" s="106">
        <v>0</v>
      </c>
      <c r="L64" s="106">
        <f t="shared" si="58"/>
        <v>2337.5</v>
      </c>
      <c r="M64" s="106">
        <f t="shared" si="58"/>
        <v>0</v>
      </c>
      <c r="N64" s="106">
        <f t="shared" si="58"/>
        <v>0</v>
      </c>
      <c r="O64" s="106">
        <f t="shared" si="58"/>
        <v>2141.4</v>
      </c>
      <c r="P64" s="106">
        <f t="shared" si="58"/>
        <v>0</v>
      </c>
      <c r="Q64" s="106">
        <f t="shared" ref="Q64" si="59">P64/O64*100</f>
        <v>0</v>
      </c>
      <c r="R64" s="106">
        <f t="shared" si="58"/>
        <v>328.59999999999997</v>
      </c>
      <c r="S64" s="106">
        <f t="shared" si="58"/>
        <v>0</v>
      </c>
      <c r="T64" s="106">
        <f t="shared" ref="T64" si="60">S64/R64*100</f>
        <v>0</v>
      </c>
      <c r="U64" s="106">
        <f t="shared" si="58"/>
        <v>1220.6000000000001</v>
      </c>
      <c r="V64" s="106">
        <f t="shared" si="58"/>
        <v>0</v>
      </c>
      <c r="W64" s="106">
        <f t="shared" si="58"/>
        <v>0</v>
      </c>
      <c r="X64" s="106">
        <f t="shared" si="58"/>
        <v>1288.6000000000001</v>
      </c>
      <c r="Y64" s="106">
        <f t="shared" si="58"/>
        <v>0</v>
      </c>
      <c r="Z64" s="106">
        <f t="shared" si="58"/>
        <v>0</v>
      </c>
      <c r="AA64" s="106">
        <f t="shared" si="58"/>
        <v>1075.6000000000001</v>
      </c>
      <c r="AB64" s="106">
        <f t="shared" si="58"/>
        <v>0</v>
      </c>
      <c r="AC64" s="106">
        <f t="shared" si="58"/>
        <v>0</v>
      </c>
      <c r="AD64" s="106">
        <f t="shared" si="58"/>
        <v>150.6</v>
      </c>
      <c r="AE64" s="106">
        <f t="shared" si="58"/>
        <v>0</v>
      </c>
      <c r="AF64" s="106">
        <f t="shared" ref="AF64" si="61">AE64/AD64*100</f>
        <v>0</v>
      </c>
      <c r="AG64" s="106">
        <f t="shared" si="58"/>
        <v>200.6</v>
      </c>
      <c r="AH64" s="106">
        <f t="shared" si="58"/>
        <v>0</v>
      </c>
      <c r="AI64" s="106">
        <f t="shared" si="58"/>
        <v>0</v>
      </c>
      <c r="AJ64" s="106">
        <f t="shared" si="58"/>
        <v>162.6</v>
      </c>
      <c r="AK64" s="106">
        <f t="shared" si="58"/>
        <v>0</v>
      </c>
      <c r="AL64" s="106">
        <f t="shared" si="58"/>
        <v>0</v>
      </c>
      <c r="AM64" s="106">
        <f t="shared" si="58"/>
        <v>1350.0000000000002</v>
      </c>
      <c r="AN64" s="106">
        <f t="shared" si="58"/>
        <v>0</v>
      </c>
      <c r="AO64" s="106">
        <f t="shared" si="58"/>
        <v>0</v>
      </c>
      <c r="AP64" s="106">
        <f t="shared" si="58"/>
        <v>372</v>
      </c>
      <c r="AQ64" s="106">
        <f t="shared" si="58"/>
        <v>0</v>
      </c>
      <c r="AR64" s="106">
        <f t="shared" si="58"/>
        <v>0</v>
      </c>
      <c r="AS64" s="310"/>
      <c r="AT64" s="351"/>
      <c r="AU64" s="121"/>
      <c r="AV64" s="121"/>
      <c r="AW64" s="155"/>
    </row>
    <row r="65" spans="1:49" s="100" customFormat="1" ht="24">
      <c r="A65" s="344"/>
      <c r="B65" s="345"/>
      <c r="C65" s="345"/>
      <c r="D65" s="346"/>
      <c r="E65" s="110" t="s">
        <v>257</v>
      </c>
      <c r="F65" s="106">
        <f>F72+F76+F80</f>
        <v>0</v>
      </c>
      <c r="G65" s="106">
        <f t="shared" si="58"/>
        <v>0</v>
      </c>
      <c r="H65" s="106">
        <v>0</v>
      </c>
      <c r="I65" s="106">
        <f t="shared" si="58"/>
        <v>0</v>
      </c>
      <c r="J65" s="106">
        <f t="shared" si="58"/>
        <v>0</v>
      </c>
      <c r="K65" s="106">
        <v>0</v>
      </c>
      <c r="L65" s="106">
        <f t="shared" si="58"/>
        <v>0</v>
      </c>
      <c r="M65" s="106">
        <f t="shared" si="58"/>
        <v>0</v>
      </c>
      <c r="N65" s="106">
        <f t="shared" si="58"/>
        <v>0</v>
      </c>
      <c r="O65" s="106">
        <f t="shared" si="58"/>
        <v>0</v>
      </c>
      <c r="P65" s="106">
        <f t="shared" si="58"/>
        <v>0</v>
      </c>
      <c r="Q65" s="106">
        <v>0</v>
      </c>
      <c r="R65" s="106">
        <f t="shared" si="58"/>
        <v>0</v>
      </c>
      <c r="S65" s="106">
        <f t="shared" si="58"/>
        <v>0</v>
      </c>
      <c r="T65" s="106">
        <v>0</v>
      </c>
      <c r="U65" s="106">
        <f t="shared" si="58"/>
        <v>0</v>
      </c>
      <c r="V65" s="106">
        <f t="shared" si="58"/>
        <v>0</v>
      </c>
      <c r="W65" s="106">
        <f t="shared" si="58"/>
        <v>0</v>
      </c>
      <c r="X65" s="106">
        <f t="shared" si="58"/>
        <v>0</v>
      </c>
      <c r="Y65" s="106">
        <f t="shared" si="58"/>
        <v>0</v>
      </c>
      <c r="Z65" s="106">
        <f t="shared" si="58"/>
        <v>0</v>
      </c>
      <c r="AA65" s="106">
        <f t="shared" si="58"/>
        <v>0</v>
      </c>
      <c r="AB65" s="106">
        <f t="shared" si="58"/>
        <v>0</v>
      </c>
      <c r="AC65" s="106">
        <f t="shared" si="58"/>
        <v>0</v>
      </c>
      <c r="AD65" s="106">
        <f t="shared" si="58"/>
        <v>0</v>
      </c>
      <c r="AE65" s="106">
        <f t="shared" si="58"/>
        <v>0</v>
      </c>
      <c r="AF65" s="106">
        <f t="shared" si="58"/>
        <v>0</v>
      </c>
      <c r="AG65" s="106">
        <f t="shared" si="58"/>
        <v>0</v>
      </c>
      <c r="AH65" s="106">
        <f t="shared" si="58"/>
        <v>0</v>
      </c>
      <c r="AI65" s="106">
        <f t="shared" si="58"/>
        <v>0</v>
      </c>
      <c r="AJ65" s="106">
        <f t="shared" si="58"/>
        <v>0</v>
      </c>
      <c r="AK65" s="106">
        <f t="shared" si="58"/>
        <v>0</v>
      </c>
      <c r="AL65" s="106">
        <f t="shared" si="58"/>
        <v>0</v>
      </c>
      <c r="AM65" s="106">
        <f t="shared" si="58"/>
        <v>0</v>
      </c>
      <c r="AN65" s="106">
        <f t="shared" si="58"/>
        <v>0</v>
      </c>
      <c r="AO65" s="106">
        <f t="shared" si="58"/>
        <v>0</v>
      </c>
      <c r="AP65" s="106">
        <f t="shared" si="58"/>
        <v>0</v>
      </c>
      <c r="AQ65" s="106">
        <f t="shared" si="58"/>
        <v>0</v>
      </c>
      <c r="AR65" s="106">
        <f t="shared" si="58"/>
        <v>0</v>
      </c>
      <c r="AS65" s="311"/>
      <c r="AT65" s="352"/>
      <c r="AU65" s="121"/>
      <c r="AV65" s="121"/>
      <c r="AW65" s="155"/>
    </row>
    <row r="66" spans="1:49" s="100" customFormat="1" ht="144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32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65" t="s">
        <v>395</v>
      </c>
      <c r="B69" s="318" t="s">
        <v>396</v>
      </c>
      <c r="C69" s="321" t="s">
        <v>277</v>
      </c>
      <c r="D69" s="327" t="s">
        <v>397</v>
      </c>
      <c r="E69" s="107" t="s">
        <v>42</v>
      </c>
      <c r="F69" s="123">
        <f>SUM(F70:F72)</f>
        <v>1612.1</v>
      </c>
      <c r="G69" s="123">
        <f t="shared" ref="G69" si="62">SUM(G70:G72)</f>
        <v>0</v>
      </c>
      <c r="H69" s="123">
        <f>G69/F69*100</f>
        <v>0</v>
      </c>
      <c r="I69" s="138">
        <f t="shared" ref="I69:AP69" si="63">I70+I71+I72</f>
        <v>0</v>
      </c>
      <c r="J69" s="138">
        <f t="shared" si="63"/>
        <v>0</v>
      </c>
      <c r="K69" s="123">
        <v>0</v>
      </c>
      <c r="L69" s="138">
        <f t="shared" si="63"/>
        <v>61.4</v>
      </c>
      <c r="M69" s="132">
        <f t="shared" si="63"/>
        <v>0</v>
      </c>
      <c r="N69" s="132">
        <f>M69/L69*100</f>
        <v>0</v>
      </c>
      <c r="O69" s="132">
        <f t="shared" si="63"/>
        <v>207.4</v>
      </c>
      <c r="P69" s="132">
        <f t="shared" si="63"/>
        <v>0</v>
      </c>
      <c r="Q69" s="123">
        <f t="shared" ref="Q69:Q79" si="64">P69/O69*100</f>
        <v>0</v>
      </c>
      <c r="R69" s="132">
        <f t="shared" si="63"/>
        <v>61.4</v>
      </c>
      <c r="S69" s="132">
        <f t="shared" si="63"/>
        <v>0</v>
      </c>
      <c r="T69" s="132">
        <f>S69/R69*100</f>
        <v>0</v>
      </c>
      <c r="U69" s="138">
        <f t="shared" si="63"/>
        <v>61.4</v>
      </c>
      <c r="V69" s="138">
        <f t="shared" si="63"/>
        <v>0</v>
      </c>
      <c r="W69" s="132">
        <f t="shared" ref="W69" si="65">V69/U69*100</f>
        <v>0</v>
      </c>
      <c r="X69" s="132">
        <f t="shared" si="63"/>
        <v>61.4</v>
      </c>
      <c r="Y69" s="132">
        <f t="shared" si="63"/>
        <v>0</v>
      </c>
      <c r="Z69" s="132">
        <f t="shared" ref="Z69" si="66">Y69/X69*100</f>
        <v>0</v>
      </c>
      <c r="AA69" s="132">
        <f t="shared" si="63"/>
        <v>61.4</v>
      </c>
      <c r="AB69" s="132">
        <f t="shared" si="63"/>
        <v>0</v>
      </c>
      <c r="AC69" s="132">
        <f t="shared" ref="AC69" si="67">AB69/AA69*100</f>
        <v>0</v>
      </c>
      <c r="AD69" s="132">
        <f t="shared" si="63"/>
        <v>61.4</v>
      </c>
      <c r="AE69" s="138">
        <f t="shared" si="63"/>
        <v>0</v>
      </c>
      <c r="AF69" s="104">
        <f t="shared" ref="AF69" si="68">AE69/AD69*100</f>
        <v>0</v>
      </c>
      <c r="AG69" s="138">
        <f t="shared" si="63"/>
        <v>61.4</v>
      </c>
      <c r="AH69" s="138">
        <f t="shared" si="63"/>
        <v>0</v>
      </c>
      <c r="AI69" s="132">
        <f t="shared" ref="AI69" si="69">AH69/AG69*100</f>
        <v>0</v>
      </c>
      <c r="AJ69" s="138">
        <f t="shared" si="63"/>
        <v>61.4</v>
      </c>
      <c r="AK69" s="138">
        <f t="shared" si="63"/>
        <v>0</v>
      </c>
      <c r="AL69" s="138">
        <f t="shared" si="63"/>
        <v>0</v>
      </c>
      <c r="AM69" s="138">
        <f t="shared" si="63"/>
        <v>790.7</v>
      </c>
      <c r="AN69" s="138">
        <f t="shared" si="63"/>
        <v>0</v>
      </c>
      <c r="AO69" s="138">
        <f t="shared" si="63"/>
        <v>0</v>
      </c>
      <c r="AP69" s="138">
        <f t="shared" si="63"/>
        <v>122.8</v>
      </c>
      <c r="AQ69" s="104"/>
      <c r="AR69" s="104"/>
      <c r="AS69" s="324" t="s">
        <v>317</v>
      </c>
      <c r="AT69" s="329"/>
      <c r="AU69" s="121"/>
      <c r="AV69" s="121"/>
      <c r="AW69" s="155"/>
    </row>
    <row r="70" spans="1:49" s="31" customFormat="1" ht="36">
      <c r="A70" s="366"/>
      <c r="B70" s="319"/>
      <c r="C70" s="322"/>
      <c r="D70" s="328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25"/>
      <c r="AT70" s="330"/>
      <c r="AU70" s="121"/>
      <c r="AV70" s="121"/>
      <c r="AW70" s="155"/>
    </row>
    <row r="71" spans="1:49" s="31" customFormat="1" ht="12.75">
      <c r="A71" s="366"/>
      <c r="B71" s="319"/>
      <c r="C71" s="322"/>
      <c r="D71" s="328"/>
      <c r="E71" s="108" t="s">
        <v>44</v>
      </c>
      <c r="F71" s="123">
        <f t="shared" ref="F71:G72" si="70">I71+L71+O71+R71+U71+X71+AA71+AD71+AG71+AJ71+AM71+AP71</f>
        <v>1612.1</v>
      </c>
      <c r="G71" s="123">
        <f t="shared" si="70"/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71">M71/L71*100</f>
        <v>0</v>
      </c>
      <c r="O71" s="123">
        <v>207.4</v>
      </c>
      <c r="P71" s="123">
        <v>0</v>
      </c>
      <c r="Q71" s="123">
        <f t="shared" si="64"/>
        <v>0</v>
      </c>
      <c r="R71" s="123">
        <v>61.4</v>
      </c>
      <c r="S71" s="123">
        <v>0</v>
      </c>
      <c r="T71" s="132">
        <f t="shared" ref="T71:T79" si="72">S71/R71*100</f>
        <v>0</v>
      </c>
      <c r="U71" s="117">
        <v>61.4</v>
      </c>
      <c r="V71" s="117">
        <v>0</v>
      </c>
      <c r="W71" s="132">
        <f t="shared" ref="W71" si="73">V71/U71*100</f>
        <v>0</v>
      </c>
      <c r="X71" s="117">
        <v>61.4</v>
      </c>
      <c r="Y71" s="117">
        <v>0</v>
      </c>
      <c r="Z71" s="132">
        <f t="shared" ref="Z71" si="74">Y71/X71*100</f>
        <v>0</v>
      </c>
      <c r="AA71" s="117">
        <v>61.4</v>
      </c>
      <c r="AB71" s="117">
        <v>0</v>
      </c>
      <c r="AC71" s="132">
        <f t="shared" ref="AC71" si="75">AB71/AA71*100</f>
        <v>0</v>
      </c>
      <c r="AD71" s="117">
        <v>61.4</v>
      </c>
      <c r="AE71" s="117">
        <v>0</v>
      </c>
      <c r="AF71" s="132">
        <f t="shared" ref="AF71" si="76">AE71/AD71*100</f>
        <v>0</v>
      </c>
      <c r="AG71" s="117">
        <v>61.4</v>
      </c>
      <c r="AH71" s="117">
        <v>0</v>
      </c>
      <c r="AI71" s="132">
        <f t="shared" ref="AI71" si="77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25"/>
      <c r="AT71" s="330"/>
      <c r="AU71" s="121"/>
      <c r="AV71" s="121"/>
      <c r="AW71" s="155"/>
    </row>
    <row r="72" spans="1:49" s="31" customFormat="1" ht="24">
      <c r="A72" s="367"/>
      <c r="B72" s="320"/>
      <c r="C72" s="323"/>
      <c r="D72" s="334"/>
      <c r="E72" s="109" t="s">
        <v>257</v>
      </c>
      <c r="F72" s="123">
        <f t="shared" si="70"/>
        <v>0</v>
      </c>
      <c r="G72" s="123">
        <f t="shared" si="70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26"/>
      <c r="AT72" s="368"/>
      <c r="AU72" s="121"/>
      <c r="AV72" s="121"/>
      <c r="AW72" s="155"/>
    </row>
    <row r="73" spans="1:49" s="31" customFormat="1" ht="12.75">
      <c r="A73" s="365" t="s">
        <v>398</v>
      </c>
      <c r="B73" s="318" t="s">
        <v>258</v>
      </c>
      <c r="C73" s="321" t="s">
        <v>277</v>
      </c>
      <c r="D73" s="327" t="s">
        <v>400</v>
      </c>
      <c r="E73" s="107" t="s">
        <v>42</v>
      </c>
      <c r="F73" s="123">
        <f>SUM(F74:F76)</f>
        <v>455.1</v>
      </c>
      <c r="G73" s="123">
        <f t="shared" ref="G73" si="78">SUM(G74:G76)</f>
        <v>0</v>
      </c>
      <c r="H73" s="123">
        <f>G73/F73*100</f>
        <v>0</v>
      </c>
      <c r="I73" s="138">
        <f t="shared" ref="I73:AP73" si="79">I74+I75+I76</f>
        <v>0</v>
      </c>
      <c r="J73" s="138">
        <f t="shared" si="79"/>
        <v>0</v>
      </c>
      <c r="K73" s="123">
        <v>0</v>
      </c>
      <c r="L73" s="138">
        <f t="shared" si="79"/>
        <v>0</v>
      </c>
      <c r="M73" s="132">
        <f t="shared" si="79"/>
        <v>0</v>
      </c>
      <c r="N73" s="132">
        <v>0</v>
      </c>
      <c r="O73" s="132">
        <f t="shared" si="79"/>
        <v>0</v>
      </c>
      <c r="P73" s="132">
        <f t="shared" si="79"/>
        <v>0</v>
      </c>
      <c r="Q73" s="123">
        <v>0</v>
      </c>
      <c r="R73" s="132">
        <f t="shared" si="79"/>
        <v>0</v>
      </c>
      <c r="S73" s="132">
        <f t="shared" si="79"/>
        <v>0</v>
      </c>
      <c r="T73" s="132">
        <v>0</v>
      </c>
      <c r="U73" s="132">
        <f t="shared" si="79"/>
        <v>0</v>
      </c>
      <c r="V73" s="132">
        <f t="shared" si="79"/>
        <v>0</v>
      </c>
      <c r="W73" s="132">
        <f t="shared" si="79"/>
        <v>0</v>
      </c>
      <c r="X73" s="132">
        <f t="shared" si="79"/>
        <v>0</v>
      </c>
      <c r="Y73" s="132">
        <f t="shared" si="79"/>
        <v>0</v>
      </c>
      <c r="Z73" s="138">
        <f t="shared" si="79"/>
        <v>0</v>
      </c>
      <c r="AA73" s="138">
        <f t="shared" si="79"/>
        <v>0</v>
      </c>
      <c r="AB73" s="138">
        <f t="shared" si="79"/>
        <v>0</v>
      </c>
      <c r="AC73" s="138">
        <f t="shared" si="79"/>
        <v>0</v>
      </c>
      <c r="AD73" s="132">
        <f t="shared" si="79"/>
        <v>0</v>
      </c>
      <c r="AE73" s="132">
        <f t="shared" si="79"/>
        <v>0</v>
      </c>
      <c r="AF73" s="132">
        <f t="shared" si="79"/>
        <v>0</v>
      </c>
      <c r="AG73" s="132">
        <f t="shared" si="79"/>
        <v>0</v>
      </c>
      <c r="AH73" s="132">
        <f t="shared" si="79"/>
        <v>0</v>
      </c>
      <c r="AI73" s="132">
        <f t="shared" si="79"/>
        <v>0</v>
      </c>
      <c r="AJ73" s="132">
        <f t="shared" si="79"/>
        <v>0</v>
      </c>
      <c r="AK73" s="132">
        <f t="shared" si="79"/>
        <v>0</v>
      </c>
      <c r="AL73" s="132">
        <f t="shared" si="79"/>
        <v>0</v>
      </c>
      <c r="AM73" s="132">
        <f t="shared" si="79"/>
        <v>455.1</v>
      </c>
      <c r="AN73" s="132">
        <f t="shared" si="79"/>
        <v>0</v>
      </c>
      <c r="AO73" s="132">
        <f t="shared" si="79"/>
        <v>0</v>
      </c>
      <c r="AP73" s="132">
        <f t="shared" si="79"/>
        <v>0</v>
      </c>
      <c r="AQ73" s="104"/>
      <c r="AR73" s="104"/>
      <c r="AS73" s="369" t="s">
        <v>281</v>
      </c>
      <c r="AT73" s="335" t="s">
        <v>300</v>
      </c>
      <c r="AU73" s="121"/>
      <c r="AV73" s="121"/>
      <c r="AW73" s="155"/>
    </row>
    <row r="74" spans="1:49" s="31" customFormat="1" ht="36">
      <c r="A74" s="366"/>
      <c r="B74" s="319"/>
      <c r="C74" s="322"/>
      <c r="D74" s="328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70"/>
      <c r="AT74" s="336"/>
      <c r="AU74" s="121"/>
      <c r="AV74" s="121"/>
      <c r="AW74" s="155"/>
    </row>
    <row r="75" spans="1:49" s="31" customFormat="1" ht="12.75">
      <c r="A75" s="366"/>
      <c r="B75" s="319"/>
      <c r="C75" s="322"/>
      <c r="D75" s="328"/>
      <c r="E75" s="108" t="s">
        <v>44</v>
      </c>
      <c r="F75" s="123">
        <f t="shared" ref="F75:G76" si="80">I75+L75+O75+R75+U75+X75+AA75+AD75+AG75+AJ75+AM75+AP75</f>
        <v>455.1</v>
      </c>
      <c r="G75" s="123">
        <f t="shared" si="80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70"/>
      <c r="AT75" s="336"/>
      <c r="AU75" s="121"/>
      <c r="AV75" s="121"/>
      <c r="AW75" s="155"/>
    </row>
    <row r="76" spans="1:49" s="31" customFormat="1" ht="24">
      <c r="A76" s="367"/>
      <c r="B76" s="320"/>
      <c r="C76" s="323"/>
      <c r="D76" s="334"/>
      <c r="E76" s="109" t="s">
        <v>257</v>
      </c>
      <c r="F76" s="123">
        <f t="shared" si="80"/>
        <v>0</v>
      </c>
      <c r="G76" s="123">
        <f t="shared" si="80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71"/>
      <c r="AT76" s="337"/>
      <c r="AU76" s="121"/>
      <c r="AV76" s="121"/>
      <c r="AW76" s="155"/>
    </row>
    <row r="77" spans="1:49" s="31" customFormat="1" ht="12.75">
      <c r="A77" s="365" t="s">
        <v>399</v>
      </c>
      <c r="B77" s="318" t="s">
        <v>295</v>
      </c>
      <c r="C77" s="321" t="s">
        <v>401</v>
      </c>
      <c r="D77" s="327" t="s">
        <v>402</v>
      </c>
      <c r="E77" s="107" t="s">
        <v>42</v>
      </c>
      <c r="F77" s="123">
        <f>SUM(F78:F80)</f>
        <v>8560.9000000000015</v>
      </c>
      <c r="G77" s="123">
        <f t="shared" ref="G77" si="81">SUM(G78:G80)</f>
        <v>0</v>
      </c>
      <c r="H77" s="123">
        <f>G77/F77*100</f>
        <v>0</v>
      </c>
      <c r="I77" s="132">
        <f t="shared" ref="I77:AP77" si="82">I78+I79+I80</f>
        <v>0</v>
      </c>
      <c r="J77" s="132">
        <f t="shared" si="82"/>
        <v>0</v>
      </c>
      <c r="K77" s="123">
        <v>0</v>
      </c>
      <c r="L77" s="132">
        <f t="shared" si="82"/>
        <v>2276.1</v>
      </c>
      <c r="M77" s="132">
        <f t="shared" si="82"/>
        <v>0</v>
      </c>
      <c r="N77" s="132">
        <f>M77/L77*100</f>
        <v>0</v>
      </c>
      <c r="O77" s="132">
        <f t="shared" si="82"/>
        <v>1934</v>
      </c>
      <c r="P77" s="132">
        <f t="shared" si="82"/>
        <v>0</v>
      </c>
      <c r="Q77" s="123">
        <f t="shared" si="64"/>
        <v>0</v>
      </c>
      <c r="R77" s="132">
        <f t="shared" si="82"/>
        <v>267.2</v>
      </c>
      <c r="S77" s="132">
        <f t="shared" si="82"/>
        <v>0</v>
      </c>
      <c r="T77" s="132">
        <f t="shared" si="72"/>
        <v>0</v>
      </c>
      <c r="U77" s="132">
        <f t="shared" si="82"/>
        <v>1159.2</v>
      </c>
      <c r="V77" s="132">
        <f t="shared" si="82"/>
        <v>0</v>
      </c>
      <c r="W77" s="138">
        <f t="shared" ref="W77" si="83">V77/U77*100</f>
        <v>0</v>
      </c>
      <c r="X77" s="132">
        <f t="shared" si="82"/>
        <v>1227.2</v>
      </c>
      <c r="Y77" s="132">
        <f t="shared" si="82"/>
        <v>0</v>
      </c>
      <c r="Z77" s="132">
        <f t="shared" si="82"/>
        <v>0</v>
      </c>
      <c r="AA77" s="132">
        <f t="shared" si="82"/>
        <v>1014.2</v>
      </c>
      <c r="AB77" s="132">
        <f t="shared" si="82"/>
        <v>0</v>
      </c>
      <c r="AC77" s="117">
        <f>AB77/AA77*100</f>
        <v>0</v>
      </c>
      <c r="AD77" s="132">
        <f t="shared" si="82"/>
        <v>89.2</v>
      </c>
      <c r="AE77" s="132">
        <f t="shared" si="82"/>
        <v>0</v>
      </c>
      <c r="AF77" s="104">
        <f t="shared" ref="AF77" si="84">AE77/AD77*100</f>
        <v>0</v>
      </c>
      <c r="AG77" s="132">
        <f t="shared" si="82"/>
        <v>139.19999999999999</v>
      </c>
      <c r="AH77" s="132">
        <f t="shared" si="82"/>
        <v>0</v>
      </c>
      <c r="AI77" s="104">
        <f t="shared" ref="AI77" si="85">AH77/AG77*100</f>
        <v>0</v>
      </c>
      <c r="AJ77" s="132">
        <f t="shared" si="82"/>
        <v>101.2</v>
      </c>
      <c r="AK77" s="132">
        <f t="shared" si="82"/>
        <v>0</v>
      </c>
      <c r="AL77" s="132">
        <f t="shared" si="82"/>
        <v>0</v>
      </c>
      <c r="AM77" s="132">
        <f t="shared" si="82"/>
        <v>104.2</v>
      </c>
      <c r="AN77" s="132">
        <f t="shared" si="82"/>
        <v>0</v>
      </c>
      <c r="AO77" s="132">
        <f t="shared" si="82"/>
        <v>0</v>
      </c>
      <c r="AP77" s="132">
        <f t="shared" si="82"/>
        <v>249.20000000000002</v>
      </c>
      <c r="AQ77" s="104"/>
      <c r="AR77" s="104"/>
      <c r="AS77" s="324" t="s">
        <v>320</v>
      </c>
      <c r="AT77" s="329"/>
      <c r="AU77" s="121"/>
      <c r="AV77" s="121"/>
      <c r="AW77" s="155"/>
    </row>
    <row r="78" spans="1:49" s="31" customFormat="1" ht="36">
      <c r="A78" s="366"/>
      <c r="B78" s="319"/>
      <c r="C78" s="322"/>
      <c r="D78" s="328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25"/>
      <c r="AT78" s="330"/>
      <c r="AU78" s="121"/>
      <c r="AV78" s="121"/>
      <c r="AW78" s="155"/>
    </row>
    <row r="79" spans="1:49" s="31" customFormat="1" ht="12.75">
      <c r="A79" s="366"/>
      <c r="B79" s="319"/>
      <c r="C79" s="322"/>
      <c r="D79" s="328"/>
      <c r="E79" s="108" t="s">
        <v>44</v>
      </c>
      <c r="F79" s="123">
        <f t="shared" ref="F79:G80" si="86">I79+L79+O79+R79+U79+X79+AA79+AD79+AG79+AJ79+AM79+AP79</f>
        <v>8560.9000000000015</v>
      </c>
      <c r="G79" s="123">
        <f t="shared" si="86"/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87">M79/L79*100</f>
        <v>0</v>
      </c>
      <c r="O79" s="123">
        <f>1844+40+50</f>
        <v>1934</v>
      </c>
      <c r="P79" s="123">
        <v>0</v>
      </c>
      <c r="Q79" s="123">
        <f t="shared" si="64"/>
        <v>0</v>
      </c>
      <c r="R79" s="123">
        <f>229.2+38</f>
        <v>267.2</v>
      </c>
      <c r="S79" s="123">
        <v>0</v>
      </c>
      <c r="T79" s="138">
        <f t="shared" si="72"/>
        <v>0</v>
      </c>
      <c r="U79" s="117">
        <f>1129.2+30</f>
        <v>1159.2</v>
      </c>
      <c r="V79" s="117">
        <v>0</v>
      </c>
      <c r="W79" s="138">
        <f t="shared" ref="W79" si="88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89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25"/>
      <c r="AT79" s="330"/>
      <c r="AU79" s="121"/>
      <c r="AV79" s="121"/>
      <c r="AW79" s="155"/>
    </row>
    <row r="80" spans="1:49" s="31" customFormat="1" ht="24">
      <c r="A80" s="367"/>
      <c r="B80" s="320"/>
      <c r="C80" s="323"/>
      <c r="D80" s="334"/>
      <c r="E80" s="109" t="s">
        <v>257</v>
      </c>
      <c r="F80" s="123">
        <f t="shared" si="86"/>
        <v>0</v>
      </c>
      <c r="G80" s="123">
        <f t="shared" si="86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26"/>
      <c r="AT80" s="368"/>
      <c r="AU80" s="121"/>
      <c r="AV80" s="121"/>
      <c r="AW80" s="155"/>
    </row>
    <row r="81" spans="1:48" s="100" customFormat="1" ht="12.75">
      <c r="A81" s="373" t="s">
        <v>256</v>
      </c>
      <c r="B81" s="374"/>
      <c r="C81" s="374"/>
      <c r="D81" s="375"/>
      <c r="E81" s="110" t="s">
        <v>42</v>
      </c>
      <c r="F81" s="106">
        <f>F82+F83+F84</f>
        <v>433024.19999999995</v>
      </c>
      <c r="G81" s="106">
        <f t="shared" ref="G81:AP81" si="90">G82+G83+G84</f>
        <v>25267</v>
      </c>
      <c r="H81" s="106">
        <f>G81/F81*100</f>
        <v>5.8350087593256914</v>
      </c>
      <c r="I81" s="106">
        <f t="shared" si="90"/>
        <v>14942.5</v>
      </c>
      <c r="J81" s="106">
        <f t="shared" si="90"/>
        <v>25267</v>
      </c>
      <c r="K81" s="106">
        <f>J81/I81*100</f>
        <v>169.09486364396855</v>
      </c>
      <c r="L81" s="106">
        <f t="shared" si="90"/>
        <v>45743.000000000007</v>
      </c>
      <c r="M81" s="106">
        <f t="shared" si="90"/>
        <v>0</v>
      </c>
      <c r="N81" s="106">
        <f>M81/L81*100</f>
        <v>0</v>
      </c>
      <c r="O81" s="106">
        <f t="shared" si="90"/>
        <v>37993.800000000003</v>
      </c>
      <c r="P81" s="106">
        <f t="shared" si="90"/>
        <v>0</v>
      </c>
      <c r="Q81" s="106">
        <f>P81/O81*100</f>
        <v>0</v>
      </c>
      <c r="R81" s="106">
        <f t="shared" si="90"/>
        <v>43738.3</v>
      </c>
      <c r="S81" s="106">
        <f t="shared" si="90"/>
        <v>0</v>
      </c>
      <c r="T81" s="106">
        <f>S81/R81*100</f>
        <v>0</v>
      </c>
      <c r="U81" s="106">
        <f t="shared" si="90"/>
        <v>35345.399999999994</v>
      </c>
      <c r="V81" s="106">
        <f t="shared" si="90"/>
        <v>0</v>
      </c>
      <c r="W81" s="106">
        <f t="shared" si="90"/>
        <v>0</v>
      </c>
      <c r="X81" s="106">
        <f t="shared" si="90"/>
        <v>38567</v>
      </c>
      <c r="Y81" s="106">
        <f t="shared" si="90"/>
        <v>0</v>
      </c>
      <c r="Z81" s="106" t="e">
        <f t="shared" si="90"/>
        <v>#REF!</v>
      </c>
      <c r="AA81" s="106">
        <f t="shared" si="90"/>
        <v>50633.4</v>
      </c>
      <c r="AB81" s="106">
        <f t="shared" si="90"/>
        <v>0</v>
      </c>
      <c r="AC81" s="106" t="e">
        <f t="shared" si="90"/>
        <v>#REF!</v>
      </c>
      <c r="AD81" s="106">
        <f t="shared" si="90"/>
        <v>36461.199999999997</v>
      </c>
      <c r="AE81" s="106">
        <f t="shared" si="90"/>
        <v>0</v>
      </c>
      <c r="AF81" s="103">
        <f t="shared" ref="AF81:AF84" si="91">AE81/AD81*100</f>
        <v>0</v>
      </c>
      <c r="AG81" s="106">
        <f t="shared" si="90"/>
        <v>28451.69999999999</v>
      </c>
      <c r="AH81" s="106">
        <f t="shared" si="90"/>
        <v>0</v>
      </c>
      <c r="AI81" s="106" t="e">
        <f t="shared" si="90"/>
        <v>#REF!</v>
      </c>
      <c r="AJ81" s="106">
        <f t="shared" si="90"/>
        <v>24958.799999999999</v>
      </c>
      <c r="AK81" s="106">
        <f t="shared" si="90"/>
        <v>0</v>
      </c>
      <c r="AL81" s="106" t="e">
        <f t="shared" si="90"/>
        <v>#REF!</v>
      </c>
      <c r="AM81" s="106">
        <f t="shared" si="90"/>
        <v>25565.599999999995</v>
      </c>
      <c r="AN81" s="106">
        <f t="shared" si="90"/>
        <v>0</v>
      </c>
      <c r="AO81" s="106" t="e">
        <f t="shared" si="90"/>
        <v>#REF!</v>
      </c>
      <c r="AP81" s="106">
        <f t="shared" si="90"/>
        <v>50623.5</v>
      </c>
      <c r="AQ81" s="103">
        <f t="shared" ref="AQ81:AR81" si="92">SUM(AQ82:AQ84)</f>
        <v>0</v>
      </c>
      <c r="AR81" s="103" t="e">
        <f t="shared" si="92"/>
        <v>#REF!</v>
      </c>
      <c r="AS81" s="309"/>
      <c r="AT81" s="382"/>
      <c r="AU81" s="121"/>
      <c r="AV81" s="127"/>
    </row>
    <row r="82" spans="1:48" s="100" customFormat="1" ht="36">
      <c r="A82" s="376"/>
      <c r="B82" s="377"/>
      <c r="C82" s="377"/>
      <c r="D82" s="378"/>
      <c r="E82" s="111" t="s">
        <v>3</v>
      </c>
      <c r="F82" s="106">
        <f t="shared" ref="F82:G84" si="93">F10+F34+F49+F63</f>
        <v>124591.59999999998</v>
      </c>
      <c r="G82" s="106">
        <f t="shared" si="93"/>
        <v>924.5</v>
      </c>
      <c r="H82" s="106">
        <f>G82/F82*100</f>
        <v>0.7420243419299537</v>
      </c>
      <c r="I82" s="106">
        <f t="shared" ref="I82:J84" si="94">I10+I34+I49+I63</f>
        <v>949.99999999999989</v>
      </c>
      <c r="J82" s="106">
        <f t="shared" si="94"/>
        <v>924.5</v>
      </c>
      <c r="K82" s="106">
        <f t="shared" ref="K82:K84" si="95">J82/I82*100</f>
        <v>97.31578947368422</v>
      </c>
      <c r="L82" s="106">
        <f t="shared" ref="L82:M84" si="96">L10+L34+L49+L63</f>
        <v>8876.4</v>
      </c>
      <c r="M82" s="106">
        <f t="shared" si="96"/>
        <v>0</v>
      </c>
      <c r="N82" s="106">
        <f t="shared" ref="N82:N84" si="97">M82/L82*100</f>
        <v>0</v>
      </c>
      <c r="O82" s="106">
        <f t="shared" ref="O82:P84" si="98">O10+O34+O49+O63</f>
        <v>9433.7999999999993</v>
      </c>
      <c r="P82" s="106">
        <f t="shared" si="98"/>
        <v>0</v>
      </c>
      <c r="Q82" s="106">
        <f t="shared" ref="Q82:Q84" si="99">P82/O82*100</f>
        <v>0</v>
      </c>
      <c r="R82" s="106">
        <f t="shared" ref="R82:S84" si="100">R10+R34+R49+R63</f>
        <v>10145.4</v>
      </c>
      <c r="S82" s="106">
        <f t="shared" si="100"/>
        <v>0</v>
      </c>
      <c r="T82" s="106">
        <f t="shared" ref="T82:T84" si="101">S82/R82*100</f>
        <v>0</v>
      </c>
      <c r="U82" s="106">
        <f t="shared" ref="U82:AE84" si="102">U10+U34+U49+U63</f>
        <v>8496.3999999999978</v>
      </c>
      <c r="V82" s="106">
        <f t="shared" si="102"/>
        <v>0</v>
      </c>
      <c r="W82" s="106">
        <f t="shared" si="102"/>
        <v>0</v>
      </c>
      <c r="X82" s="106">
        <f t="shared" si="102"/>
        <v>10177.699999999999</v>
      </c>
      <c r="Y82" s="106">
        <f t="shared" si="102"/>
        <v>0</v>
      </c>
      <c r="Z82" s="106" t="e">
        <f t="shared" si="102"/>
        <v>#REF!</v>
      </c>
      <c r="AA82" s="106">
        <f t="shared" si="102"/>
        <v>11495.900000000001</v>
      </c>
      <c r="AB82" s="106">
        <f t="shared" si="102"/>
        <v>0</v>
      </c>
      <c r="AC82" s="106" t="e">
        <f t="shared" si="102"/>
        <v>#REF!</v>
      </c>
      <c r="AD82" s="106">
        <f t="shared" si="102"/>
        <v>11156.3</v>
      </c>
      <c r="AE82" s="106">
        <f t="shared" si="102"/>
        <v>0</v>
      </c>
      <c r="AF82" s="103">
        <f t="shared" si="91"/>
        <v>0</v>
      </c>
      <c r="AG82" s="106">
        <f t="shared" ref="AG82:AR84" si="103">AG10+AG34+AG49+AG63</f>
        <v>9422.9</v>
      </c>
      <c r="AH82" s="106">
        <f t="shared" si="103"/>
        <v>0</v>
      </c>
      <c r="AI82" s="106" t="e">
        <f t="shared" si="103"/>
        <v>#REF!</v>
      </c>
      <c r="AJ82" s="106">
        <f t="shared" si="103"/>
        <v>9978.1999999999989</v>
      </c>
      <c r="AK82" s="106">
        <f t="shared" si="103"/>
        <v>0</v>
      </c>
      <c r="AL82" s="106" t="e">
        <f t="shared" si="103"/>
        <v>#REF!</v>
      </c>
      <c r="AM82" s="106">
        <f t="shared" si="103"/>
        <v>8872.0999999999985</v>
      </c>
      <c r="AN82" s="106">
        <f t="shared" si="103"/>
        <v>0</v>
      </c>
      <c r="AO82" s="106" t="e">
        <f t="shared" si="103"/>
        <v>#REF!</v>
      </c>
      <c r="AP82" s="106">
        <f t="shared" si="103"/>
        <v>25586.5</v>
      </c>
      <c r="AQ82" s="106">
        <f t="shared" si="103"/>
        <v>0</v>
      </c>
      <c r="AR82" s="106" t="e">
        <f t="shared" si="103"/>
        <v>#REF!</v>
      </c>
      <c r="AS82" s="310"/>
      <c r="AT82" s="383"/>
      <c r="AU82" s="121"/>
      <c r="AV82" s="127"/>
    </row>
    <row r="83" spans="1:48" s="100" customFormat="1" ht="24">
      <c r="A83" s="376"/>
      <c r="B83" s="377"/>
      <c r="C83" s="377"/>
      <c r="D83" s="378"/>
      <c r="E83" s="111" t="s">
        <v>44</v>
      </c>
      <c r="F83" s="106">
        <f t="shared" si="93"/>
        <v>302600.5</v>
      </c>
      <c r="G83" s="106">
        <f t="shared" si="93"/>
        <v>24342.5</v>
      </c>
      <c r="H83" s="106">
        <f>G83/F83*100</f>
        <v>8.044434824132809</v>
      </c>
      <c r="I83" s="106">
        <f t="shared" si="94"/>
        <v>13730.7</v>
      </c>
      <c r="J83" s="106">
        <f t="shared" si="94"/>
        <v>24342.5</v>
      </c>
      <c r="K83" s="106">
        <f t="shared" si="95"/>
        <v>177.2852076004865</v>
      </c>
      <c r="L83" s="106">
        <f t="shared" si="96"/>
        <v>36530.100000000006</v>
      </c>
      <c r="M83" s="106">
        <f t="shared" si="96"/>
        <v>0</v>
      </c>
      <c r="N83" s="106">
        <f t="shared" si="97"/>
        <v>0</v>
      </c>
      <c r="O83" s="106">
        <f t="shared" si="98"/>
        <v>27748.7</v>
      </c>
      <c r="P83" s="106">
        <f t="shared" si="98"/>
        <v>0</v>
      </c>
      <c r="Q83" s="106">
        <f t="shared" si="99"/>
        <v>0</v>
      </c>
      <c r="R83" s="106">
        <f t="shared" si="100"/>
        <v>32852.300000000003</v>
      </c>
      <c r="S83" s="106">
        <f t="shared" si="100"/>
        <v>0</v>
      </c>
      <c r="T83" s="106">
        <f t="shared" si="101"/>
        <v>0</v>
      </c>
      <c r="U83" s="106">
        <f t="shared" si="102"/>
        <v>26369.299999999996</v>
      </c>
      <c r="V83" s="106">
        <f t="shared" si="102"/>
        <v>0</v>
      </c>
      <c r="W83" s="106">
        <f t="shared" si="102"/>
        <v>0</v>
      </c>
      <c r="X83" s="106">
        <f t="shared" si="102"/>
        <v>28036.499999999996</v>
      </c>
      <c r="Y83" s="106">
        <f t="shared" si="102"/>
        <v>0</v>
      </c>
      <c r="Z83" s="106" t="e">
        <f t="shared" si="102"/>
        <v>#REF!</v>
      </c>
      <c r="AA83" s="106">
        <f t="shared" si="102"/>
        <v>38312</v>
      </c>
      <c r="AB83" s="106">
        <f t="shared" si="102"/>
        <v>0</v>
      </c>
      <c r="AC83" s="106" t="e">
        <f t="shared" si="102"/>
        <v>#REF!</v>
      </c>
      <c r="AD83" s="106">
        <f t="shared" si="102"/>
        <v>24785.899999999998</v>
      </c>
      <c r="AE83" s="106">
        <f t="shared" si="102"/>
        <v>0</v>
      </c>
      <c r="AF83" s="106">
        <f t="shared" si="91"/>
        <v>0</v>
      </c>
      <c r="AG83" s="106">
        <f t="shared" si="103"/>
        <v>18727.199999999993</v>
      </c>
      <c r="AH83" s="106">
        <f t="shared" si="103"/>
        <v>0</v>
      </c>
      <c r="AI83" s="106" t="e">
        <f t="shared" si="103"/>
        <v>#REF!</v>
      </c>
      <c r="AJ83" s="106">
        <f t="shared" si="103"/>
        <v>14416.000000000002</v>
      </c>
      <c r="AK83" s="106">
        <f t="shared" si="103"/>
        <v>0</v>
      </c>
      <c r="AL83" s="106" t="e">
        <f t="shared" si="103"/>
        <v>#REF!</v>
      </c>
      <c r="AM83" s="106">
        <f t="shared" si="103"/>
        <v>16251.799999999997</v>
      </c>
      <c r="AN83" s="106">
        <f t="shared" si="103"/>
        <v>0</v>
      </c>
      <c r="AO83" s="106" t="e">
        <f t="shared" si="103"/>
        <v>#REF!</v>
      </c>
      <c r="AP83" s="106">
        <f t="shared" si="103"/>
        <v>24839.999999999996</v>
      </c>
      <c r="AQ83" s="106">
        <f t="shared" si="103"/>
        <v>0</v>
      </c>
      <c r="AR83" s="106" t="e">
        <f t="shared" si="103"/>
        <v>#REF!</v>
      </c>
      <c r="AS83" s="310"/>
      <c r="AT83" s="383"/>
      <c r="AU83" s="121"/>
      <c r="AV83" s="127"/>
    </row>
    <row r="84" spans="1:48" s="100" customFormat="1" ht="24">
      <c r="A84" s="379"/>
      <c r="B84" s="380"/>
      <c r="C84" s="380"/>
      <c r="D84" s="381"/>
      <c r="E84" s="110" t="s">
        <v>257</v>
      </c>
      <c r="F84" s="106">
        <f t="shared" si="93"/>
        <v>5832.1</v>
      </c>
      <c r="G84" s="106">
        <f t="shared" si="93"/>
        <v>0</v>
      </c>
      <c r="H84" s="106">
        <f>G84/F84*100</f>
        <v>0</v>
      </c>
      <c r="I84" s="106">
        <f t="shared" si="94"/>
        <v>261.8</v>
      </c>
      <c r="J84" s="106">
        <f t="shared" si="94"/>
        <v>0</v>
      </c>
      <c r="K84" s="106">
        <f t="shared" si="95"/>
        <v>0</v>
      </c>
      <c r="L84" s="106">
        <f t="shared" si="96"/>
        <v>336.5</v>
      </c>
      <c r="M84" s="106">
        <f t="shared" si="96"/>
        <v>0</v>
      </c>
      <c r="N84" s="106">
        <f t="shared" si="97"/>
        <v>0</v>
      </c>
      <c r="O84" s="106">
        <f t="shared" si="98"/>
        <v>811.3</v>
      </c>
      <c r="P84" s="106">
        <f t="shared" si="98"/>
        <v>0</v>
      </c>
      <c r="Q84" s="106">
        <f t="shared" si="99"/>
        <v>0</v>
      </c>
      <c r="R84" s="106">
        <f t="shared" si="100"/>
        <v>740.6</v>
      </c>
      <c r="S84" s="106">
        <f t="shared" si="100"/>
        <v>0</v>
      </c>
      <c r="T84" s="106">
        <f t="shared" si="101"/>
        <v>0</v>
      </c>
      <c r="U84" s="106">
        <f t="shared" si="102"/>
        <v>479.7</v>
      </c>
      <c r="V84" s="106">
        <f t="shared" si="102"/>
        <v>0</v>
      </c>
      <c r="W84" s="106">
        <f t="shared" si="102"/>
        <v>0</v>
      </c>
      <c r="X84" s="106">
        <f t="shared" si="102"/>
        <v>352.8</v>
      </c>
      <c r="Y84" s="106">
        <f t="shared" si="102"/>
        <v>0</v>
      </c>
      <c r="Z84" s="106" t="e">
        <f t="shared" si="102"/>
        <v>#REF!</v>
      </c>
      <c r="AA84" s="106">
        <f t="shared" si="102"/>
        <v>825.5</v>
      </c>
      <c r="AB84" s="106">
        <f t="shared" si="102"/>
        <v>0</v>
      </c>
      <c r="AC84" s="106" t="e">
        <f t="shared" si="102"/>
        <v>#REF!</v>
      </c>
      <c r="AD84" s="106">
        <f t="shared" si="102"/>
        <v>519</v>
      </c>
      <c r="AE84" s="106">
        <f t="shared" si="102"/>
        <v>0</v>
      </c>
      <c r="AF84" s="106">
        <f t="shared" si="91"/>
        <v>0</v>
      </c>
      <c r="AG84" s="106">
        <f t="shared" si="103"/>
        <v>301.60000000000002</v>
      </c>
      <c r="AH84" s="106">
        <f t="shared" si="103"/>
        <v>0</v>
      </c>
      <c r="AI84" s="106" t="e">
        <f t="shared" si="103"/>
        <v>#REF!</v>
      </c>
      <c r="AJ84" s="106">
        <f t="shared" si="103"/>
        <v>564.6</v>
      </c>
      <c r="AK84" s="106">
        <f t="shared" si="103"/>
        <v>0</v>
      </c>
      <c r="AL84" s="106" t="e">
        <f t="shared" si="103"/>
        <v>#REF!</v>
      </c>
      <c r="AM84" s="106">
        <f t="shared" si="103"/>
        <v>441.7</v>
      </c>
      <c r="AN84" s="106">
        <f t="shared" si="103"/>
        <v>0</v>
      </c>
      <c r="AO84" s="106" t="e">
        <f t="shared" si="103"/>
        <v>#REF!</v>
      </c>
      <c r="AP84" s="106">
        <f t="shared" si="103"/>
        <v>197</v>
      </c>
      <c r="AQ84" s="106">
        <f t="shared" si="103"/>
        <v>0</v>
      </c>
      <c r="AR84" s="106" t="e">
        <f t="shared" si="103"/>
        <v>#REF!</v>
      </c>
      <c r="AS84" s="311"/>
      <c r="AT84" s="384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85"/>
      <c r="C86" s="385"/>
      <c r="D86" s="385"/>
      <c r="E86" s="386"/>
      <c r="F86" s="387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72" t="s">
        <v>282</v>
      </c>
      <c r="B88" s="372"/>
      <c r="C88" s="372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72" t="s">
        <v>283</v>
      </c>
      <c r="B89" s="372"/>
      <c r="C89" s="372"/>
      <c r="D89" s="372"/>
      <c r="E89" s="372"/>
      <c r="F89" s="372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72"/>
      <c r="B90" s="372"/>
      <c r="C90" s="372"/>
      <c r="D90" s="372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72"/>
      <c r="B92" s="372"/>
      <c r="C92" s="372"/>
      <c r="D92" s="372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72" t="s">
        <v>404</v>
      </c>
      <c r="B96" s="372"/>
      <c r="C96" s="372"/>
      <c r="D96" s="372"/>
      <c r="AS96" s="131"/>
    </row>
    <row r="97" spans="1:45">
      <c r="A97" s="372" t="s">
        <v>291</v>
      </c>
      <c r="B97" s="372"/>
      <c r="C97" s="372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 H14 H19">
    <cfRule type="cellIs" dxfId="2" priority="1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AP69" activePane="bottomRight" state="frozen"/>
      <selection pane="topRight" activeCell="E1" sqref="E1"/>
      <selection pane="bottomLeft" activeCell="A9" sqref="A9"/>
      <selection pane="bottomRight" activeCell="AT69" sqref="AT69:AT72"/>
    </sheetView>
  </sheetViews>
  <sheetFormatPr defaultRowHeight="15"/>
  <cols>
    <col min="2" max="3" width="23.7109375" customWidth="1"/>
    <col min="4" max="4" width="11.14062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customWidth="1"/>
    <col min="14" max="14" width="9.140625" customWidth="1"/>
    <col min="16" max="16" width="9.140625" customWidth="1"/>
    <col min="17" max="17" width="10.7109375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290" t="s">
        <v>405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196"/>
    </row>
    <row r="3" spans="1:49" s="118" customFormat="1" ht="15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197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12.75">
      <c r="A5" s="292" t="s">
        <v>0</v>
      </c>
      <c r="B5" s="292" t="s">
        <v>261</v>
      </c>
      <c r="C5" s="293" t="s">
        <v>47</v>
      </c>
      <c r="D5" s="293" t="s">
        <v>262</v>
      </c>
      <c r="E5" s="292" t="s">
        <v>1</v>
      </c>
      <c r="F5" s="292" t="s">
        <v>263</v>
      </c>
      <c r="G5" s="292"/>
      <c r="H5" s="292"/>
      <c r="I5" s="292" t="s">
        <v>18</v>
      </c>
      <c r="J5" s="292"/>
      <c r="K5" s="292"/>
      <c r="L5" s="292" t="s">
        <v>19</v>
      </c>
      <c r="M5" s="292"/>
      <c r="N5" s="292"/>
      <c r="O5" s="292" t="s">
        <v>23</v>
      </c>
      <c r="P5" s="292"/>
      <c r="Q5" s="292"/>
      <c r="R5" s="292" t="s">
        <v>25</v>
      </c>
      <c r="S5" s="292"/>
      <c r="T5" s="292"/>
      <c r="U5" s="292" t="s">
        <v>26</v>
      </c>
      <c r="V5" s="292"/>
      <c r="W5" s="292"/>
      <c r="X5" s="292" t="s">
        <v>27</v>
      </c>
      <c r="Y5" s="292"/>
      <c r="Z5" s="292"/>
      <c r="AA5" s="292" t="s">
        <v>29</v>
      </c>
      <c r="AB5" s="292"/>
      <c r="AC5" s="292"/>
      <c r="AD5" s="292" t="s">
        <v>30</v>
      </c>
      <c r="AE5" s="292"/>
      <c r="AF5" s="292"/>
      <c r="AG5" s="292" t="s">
        <v>31</v>
      </c>
      <c r="AH5" s="292"/>
      <c r="AI5" s="292"/>
      <c r="AJ5" s="292" t="s">
        <v>33</v>
      </c>
      <c r="AK5" s="292"/>
      <c r="AL5" s="292"/>
      <c r="AM5" s="292" t="s">
        <v>34</v>
      </c>
      <c r="AN5" s="292"/>
      <c r="AO5" s="292"/>
      <c r="AP5" s="292" t="s">
        <v>35</v>
      </c>
      <c r="AQ5" s="292"/>
      <c r="AR5" s="292"/>
      <c r="AS5" s="295" t="s">
        <v>273</v>
      </c>
      <c r="AT5" s="296" t="s">
        <v>274</v>
      </c>
      <c r="AU5" s="32"/>
      <c r="AV5" s="32"/>
    </row>
    <row r="6" spans="1:49" s="31" customFormat="1" ht="25.5">
      <c r="A6" s="292"/>
      <c r="B6" s="292"/>
      <c r="C6" s="294"/>
      <c r="D6" s="294"/>
      <c r="E6" s="292"/>
      <c r="F6" s="195" t="s">
        <v>264</v>
      </c>
      <c r="G6" s="195" t="s">
        <v>265</v>
      </c>
      <c r="H6" s="128" t="s">
        <v>266</v>
      </c>
      <c r="I6" s="195" t="s">
        <v>264</v>
      </c>
      <c r="J6" s="195" t="s">
        <v>265</v>
      </c>
      <c r="K6" s="128" t="s">
        <v>266</v>
      </c>
      <c r="L6" s="195" t="s">
        <v>264</v>
      </c>
      <c r="M6" s="195" t="s">
        <v>265</v>
      </c>
      <c r="N6" s="128" t="s">
        <v>266</v>
      </c>
      <c r="O6" s="195" t="s">
        <v>264</v>
      </c>
      <c r="P6" s="195" t="s">
        <v>265</v>
      </c>
      <c r="Q6" s="128" t="s">
        <v>266</v>
      </c>
      <c r="R6" s="195" t="s">
        <v>264</v>
      </c>
      <c r="S6" s="195" t="s">
        <v>265</v>
      </c>
      <c r="T6" s="128" t="s">
        <v>266</v>
      </c>
      <c r="U6" s="195" t="s">
        <v>264</v>
      </c>
      <c r="V6" s="195" t="s">
        <v>265</v>
      </c>
      <c r="W6" s="128" t="s">
        <v>266</v>
      </c>
      <c r="X6" s="195" t="s">
        <v>264</v>
      </c>
      <c r="Y6" s="195" t="s">
        <v>265</v>
      </c>
      <c r="Z6" s="128" t="s">
        <v>266</v>
      </c>
      <c r="AA6" s="195" t="s">
        <v>264</v>
      </c>
      <c r="AB6" s="195" t="s">
        <v>265</v>
      </c>
      <c r="AC6" s="128" t="s">
        <v>266</v>
      </c>
      <c r="AD6" s="195" t="s">
        <v>264</v>
      </c>
      <c r="AE6" s="195" t="s">
        <v>265</v>
      </c>
      <c r="AF6" s="128" t="s">
        <v>266</v>
      </c>
      <c r="AG6" s="195" t="s">
        <v>264</v>
      </c>
      <c r="AH6" s="195" t="s">
        <v>265</v>
      </c>
      <c r="AI6" s="128" t="s">
        <v>266</v>
      </c>
      <c r="AJ6" s="195" t="s">
        <v>264</v>
      </c>
      <c r="AK6" s="195" t="s">
        <v>265</v>
      </c>
      <c r="AL6" s="128" t="s">
        <v>266</v>
      </c>
      <c r="AM6" s="195" t="s">
        <v>264</v>
      </c>
      <c r="AN6" s="195" t="s">
        <v>265</v>
      </c>
      <c r="AO6" s="128" t="s">
        <v>266</v>
      </c>
      <c r="AP6" s="195" t="s">
        <v>264</v>
      </c>
      <c r="AQ6" s="195" t="s">
        <v>265</v>
      </c>
      <c r="AR6" s="128" t="s">
        <v>266</v>
      </c>
      <c r="AS6" s="295"/>
      <c r="AT6" s="296"/>
    </row>
    <row r="7" spans="1:49" s="31" customFormat="1" ht="15.75">
      <c r="A7" s="297" t="s">
        <v>322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9"/>
    </row>
    <row r="8" spans="1:49" s="31" customFormat="1" ht="15.75">
      <c r="A8" s="297" t="s">
        <v>294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9"/>
    </row>
    <row r="9" spans="1:49" s="100" customFormat="1" ht="12.75">
      <c r="A9" s="300" t="s">
        <v>267</v>
      </c>
      <c r="B9" s="301"/>
      <c r="C9" s="301"/>
      <c r="D9" s="302"/>
      <c r="E9" s="129" t="s">
        <v>42</v>
      </c>
      <c r="F9" s="106">
        <f>F10+F11+F12</f>
        <v>388439.29999999993</v>
      </c>
      <c r="G9" s="106">
        <f t="shared" ref="G9:AP9" si="0">G10+G11+G12</f>
        <v>82185.999999999985</v>
      </c>
      <c r="H9" s="106">
        <f t="shared" ref="H9:H17" si="1">G9/F9*100</f>
        <v>21.158003322526838</v>
      </c>
      <c r="I9" s="106">
        <f t="shared" si="0"/>
        <v>13186.399999999998</v>
      </c>
      <c r="J9" s="106">
        <f t="shared" si="0"/>
        <v>24711</v>
      </c>
      <c r="K9" s="106">
        <f>J9/I9*100</f>
        <v>187.39762179214952</v>
      </c>
      <c r="L9" s="106">
        <f t="shared" si="0"/>
        <v>40103.200000000004</v>
      </c>
      <c r="M9" s="106">
        <f t="shared" si="0"/>
        <v>31148.600000000002</v>
      </c>
      <c r="N9" s="106">
        <f>M9/L9*100</f>
        <v>77.67110853996688</v>
      </c>
      <c r="O9" s="106">
        <f t="shared" si="0"/>
        <v>34440.199999999997</v>
      </c>
      <c r="P9" s="106">
        <f t="shared" si="0"/>
        <v>26326.399999999998</v>
      </c>
      <c r="Q9" s="106">
        <f>P9/O9*100</f>
        <v>76.440903362930527</v>
      </c>
      <c r="R9" s="106">
        <f t="shared" si="0"/>
        <v>39588</v>
      </c>
      <c r="S9" s="106">
        <f t="shared" si="0"/>
        <v>0</v>
      </c>
      <c r="T9" s="106">
        <f>S9/R9*100</f>
        <v>0</v>
      </c>
      <c r="U9" s="106">
        <f t="shared" si="0"/>
        <v>31792.799999999996</v>
      </c>
      <c r="V9" s="106">
        <f t="shared" si="0"/>
        <v>0</v>
      </c>
      <c r="W9" s="106">
        <f>V9/U9*100</f>
        <v>0</v>
      </c>
      <c r="X9" s="106">
        <f t="shared" si="0"/>
        <v>37441.399999999994</v>
      </c>
      <c r="Y9" s="106">
        <f t="shared" si="0"/>
        <v>0</v>
      </c>
      <c r="Z9" s="106" t="e">
        <f t="shared" si="0"/>
        <v>#REF!</v>
      </c>
      <c r="AA9" s="106">
        <f t="shared" si="0"/>
        <v>46006.5</v>
      </c>
      <c r="AB9" s="106">
        <f t="shared" si="0"/>
        <v>0</v>
      </c>
      <c r="AC9" s="106" t="e">
        <f t="shared" si="0"/>
        <v>#REF!</v>
      </c>
      <c r="AD9" s="106">
        <f t="shared" si="0"/>
        <v>33870.399999999994</v>
      </c>
      <c r="AE9" s="106">
        <f t="shared" si="0"/>
        <v>0</v>
      </c>
      <c r="AF9" s="106">
        <f>AE9/AD9*100</f>
        <v>0</v>
      </c>
      <c r="AG9" s="106">
        <f t="shared" si="0"/>
        <v>24791.399999999998</v>
      </c>
      <c r="AH9" s="106">
        <f t="shared" si="0"/>
        <v>0</v>
      </c>
      <c r="AI9" s="106" t="e">
        <f t="shared" si="0"/>
        <v>#REF!</v>
      </c>
      <c r="AJ9" s="106">
        <f t="shared" si="0"/>
        <v>21830.899999999998</v>
      </c>
      <c r="AK9" s="106">
        <f t="shared" si="0"/>
        <v>0</v>
      </c>
      <c r="AL9" s="106" t="e">
        <f t="shared" si="0"/>
        <v>#REF!</v>
      </c>
      <c r="AM9" s="106">
        <f t="shared" si="0"/>
        <v>21887.199999999997</v>
      </c>
      <c r="AN9" s="106">
        <f t="shared" si="0"/>
        <v>0</v>
      </c>
      <c r="AO9" s="106" t="e">
        <f t="shared" si="0"/>
        <v>#REF!</v>
      </c>
      <c r="AP9" s="106">
        <f t="shared" si="0"/>
        <v>43500.899999999994</v>
      </c>
      <c r="AQ9" s="106" t="e">
        <f>#REF!+#REF!</f>
        <v>#REF!</v>
      </c>
      <c r="AR9" s="106" t="e">
        <f>#REF!+#REF!</f>
        <v>#REF!</v>
      </c>
      <c r="AS9" s="309"/>
      <c r="AT9" s="312"/>
      <c r="AU9" s="127"/>
    </row>
    <row r="10" spans="1:49" s="100" customFormat="1" ht="36">
      <c r="A10" s="303"/>
      <c r="B10" s="304"/>
      <c r="C10" s="304"/>
      <c r="D10" s="305"/>
      <c r="E10" s="111" t="s">
        <v>3</v>
      </c>
      <c r="F10" s="106">
        <f>F14+F18+F23+F26+F30</f>
        <v>94533.999999999971</v>
      </c>
      <c r="G10" s="106">
        <f>G14+G18+G23+G26+G30</f>
        <v>13891.1</v>
      </c>
      <c r="H10" s="106">
        <f t="shared" si="1"/>
        <v>14.694289885120702</v>
      </c>
      <c r="I10" s="106">
        <f>I14+I18+I23+I26+I30</f>
        <v>849.99999999999989</v>
      </c>
      <c r="J10" s="106">
        <f>J14+J18+J23+J26+J30</f>
        <v>826.6</v>
      </c>
      <c r="K10" s="106">
        <f t="shared" ref="K10:K12" si="2">J10/I10*100</f>
        <v>97.247058823529429</v>
      </c>
      <c r="L10" s="106">
        <f>L14+L18+L23+L26+L30</f>
        <v>6698.4</v>
      </c>
      <c r="M10" s="106">
        <f>M14+M18+M23+M26+M30</f>
        <v>6531.9000000000005</v>
      </c>
      <c r="N10" s="106">
        <f t="shared" ref="N10:N12" si="3">M10/L10*100</f>
        <v>97.514331780723779</v>
      </c>
      <c r="O10" s="106">
        <f>O14+O18+O23+O26+O30</f>
        <v>7010.7999999999993</v>
      </c>
      <c r="P10" s="106">
        <f>P14+P18+P23+P26+P30</f>
        <v>6532.6</v>
      </c>
      <c r="Q10" s="106">
        <f t="shared" ref="Q10:Q12" si="4">P10/O10*100</f>
        <v>93.179095110401107</v>
      </c>
      <c r="R10" s="106">
        <f>R14+R18+R23+R26+R30</f>
        <v>7150.7999999999993</v>
      </c>
      <c r="S10" s="106">
        <f>S14+S18+S23+S26+S30</f>
        <v>0</v>
      </c>
      <c r="T10" s="106">
        <f t="shared" ref="T10:T12" si="5">S10/R10*100</f>
        <v>0</v>
      </c>
      <c r="U10" s="106">
        <f>U14+U18+U23+U26+U30</f>
        <v>6616.3999999999987</v>
      </c>
      <c r="V10" s="106">
        <f>V14+V18+V23+V26+V30</f>
        <v>0</v>
      </c>
      <c r="W10" s="106">
        <f t="shared" ref="W10:W12" si="6">V10/U10*100</f>
        <v>0</v>
      </c>
      <c r="X10" s="106">
        <f>X14+X18+X23+X26+X30</f>
        <v>7788.7999999999993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8153.3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9168.0999999999985</v>
      </c>
      <c r="AE10" s="106">
        <f>AE14+AE18+AE23+AE26+AE30</f>
        <v>0</v>
      </c>
      <c r="AF10" s="106">
        <f t="shared" ref="AF10:AF25" si="7">AE10/AD10*100</f>
        <v>0</v>
      </c>
      <c r="AG10" s="106">
        <f>AG14+AG18+AG23+AG26+AG30</f>
        <v>6977.7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7065.1999999999989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7081.0999999999995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19973.399999999998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0"/>
      <c r="AT10" s="313"/>
      <c r="AU10" s="127"/>
    </row>
    <row r="11" spans="1:49" s="100" customFormat="1" ht="24">
      <c r="A11" s="303"/>
      <c r="B11" s="304"/>
      <c r="C11" s="304"/>
      <c r="D11" s="305"/>
      <c r="E11" s="111" t="s">
        <v>44</v>
      </c>
      <c r="F11" s="106">
        <f>F15+F19+F24+F27+F31</f>
        <v>288073.19999999995</v>
      </c>
      <c r="G11" s="106">
        <f>G15+G19+G24+G27+G31</f>
        <v>67488.999999999985</v>
      </c>
      <c r="H11" s="106">
        <f t="shared" si="1"/>
        <v>23.427726008528388</v>
      </c>
      <c r="I11" s="106">
        <f>I15+I19+I24+I27+I31</f>
        <v>12074.599999999999</v>
      </c>
      <c r="J11" s="106">
        <f>J15+J19+J24+J27+J31</f>
        <v>23884.400000000001</v>
      </c>
      <c r="K11" s="106">
        <f t="shared" si="2"/>
        <v>197.80696669040799</v>
      </c>
      <c r="L11" s="106">
        <f>L15+L19+L24+L27+L31</f>
        <v>33068.300000000003</v>
      </c>
      <c r="M11" s="106">
        <f>M15+M19+M24+M27+M31</f>
        <v>24395.100000000002</v>
      </c>
      <c r="N11" s="106">
        <f t="shared" si="3"/>
        <v>73.771860059331757</v>
      </c>
      <c r="O11" s="106">
        <f>O15+O19+O24+O27+O31</f>
        <v>26703.1</v>
      </c>
      <c r="P11" s="106">
        <f>P15+P19+P24+P27+P31</f>
        <v>19209.5</v>
      </c>
      <c r="Q11" s="106">
        <f t="shared" si="4"/>
        <v>71.937340608393782</v>
      </c>
      <c r="R11" s="106">
        <f>R15+R19+R24+R27+R31</f>
        <v>31696.600000000002</v>
      </c>
      <c r="S11" s="106">
        <f>S15+S19+S24+S27+S31</f>
        <v>0</v>
      </c>
      <c r="T11" s="106">
        <f t="shared" si="5"/>
        <v>0</v>
      </c>
      <c r="U11" s="106">
        <f>U15+U19+U24+U27+U31</f>
        <v>24696.699999999997</v>
      </c>
      <c r="V11" s="106">
        <f>V15+V19+V24+V27+V31</f>
        <v>0</v>
      </c>
      <c r="W11" s="106">
        <f t="shared" si="6"/>
        <v>0</v>
      </c>
      <c r="X11" s="106">
        <f>X15+X19+X24+X27+X31</f>
        <v>29200.899999999994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37184.1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7"/>
        <v>0</v>
      </c>
      <c r="AG11" s="106">
        <f>AG15+AG19+AG24+AG27+AG31</f>
        <v>17512.099999999999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14201.1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14279.699999999997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23272.699999999997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0"/>
      <c r="AT11" s="313"/>
      <c r="AU11" s="127"/>
    </row>
    <row r="12" spans="1:49" s="100" customFormat="1" ht="24">
      <c r="A12" s="306"/>
      <c r="B12" s="307"/>
      <c r="C12" s="307"/>
      <c r="D12" s="308"/>
      <c r="E12" s="110" t="s">
        <v>257</v>
      </c>
      <c r="F12" s="106">
        <f>F16+F20+F28</f>
        <v>5832.0999999999995</v>
      </c>
      <c r="G12" s="106">
        <f>G16+G20+G28</f>
        <v>805.9</v>
      </c>
      <c r="H12" s="106">
        <f t="shared" si="1"/>
        <v>13.818350165463556</v>
      </c>
      <c r="I12" s="106">
        <f>I16+I20+I28</f>
        <v>261.8</v>
      </c>
      <c r="J12" s="106">
        <f>J16+J20+J28</f>
        <v>0</v>
      </c>
      <c r="K12" s="106">
        <f t="shared" si="2"/>
        <v>0</v>
      </c>
      <c r="L12" s="106">
        <f>L16+L20+L28</f>
        <v>336.5</v>
      </c>
      <c r="M12" s="106">
        <f>M16+M20+M28</f>
        <v>221.6</v>
      </c>
      <c r="N12" s="106">
        <f t="shared" si="3"/>
        <v>65.854383358098062</v>
      </c>
      <c r="O12" s="106">
        <f>O16+O20+O28</f>
        <v>726.3</v>
      </c>
      <c r="P12" s="106">
        <f>P16+P20+P28</f>
        <v>584.29999999999995</v>
      </c>
      <c r="Q12" s="106">
        <f t="shared" si="4"/>
        <v>80.448850337326178</v>
      </c>
      <c r="R12" s="106">
        <f>R16+R20+R28</f>
        <v>740.6</v>
      </c>
      <c r="S12" s="106">
        <f>S16+S20+S28</f>
        <v>0</v>
      </c>
      <c r="T12" s="106">
        <f t="shared" si="5"/>
        <v>0</v>
      </c>
      <c r="U12" s="106">
        <f>U16+U20+U28</f>
        <v>479.7</v>
      </c>
      <c r="V12" s="106">
        <f>V16+V20+V28</f>
        <v>0</v>
      </c>
      <c r="W12" s="106">
        <f t="shared" si="6"/>
        <v>0</v>
      </c>
      <c r="X12" s="106">
        <f>X16+X20+X28</f>
        <v>451.70000000000005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669.1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7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526.4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254.8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1"/>
      <c r="AT12" s="314"/>
      <c r="AU12" s="127"/>
    </row>
    <row r="13" spans="1:49" s="31" customFormat="1" ht="12.75">
      <c r="A13" s="315" t="s">
        <v>323</v>
      </c>
      <c r="B13" s="318" t="s">
        <v>324</v>
      </c>
      <c r="C13" s="321" t="s">
        <v>325</v>
      </c>
      <c r="D13" s="321" t="s">
        <v>326</v>
      </c>
      <c r="E13" s="107" t="s">
        <v>42</v>
      </c>
      <c r="F13" s="104">
        <f>SUM(F14:F16)</f>
        <v>301286.39999999991</v>
      </c>
      <c r="G13" s="123">
        <f t="shared" ref="G13:P13" si="8">SUM(G14:G16)</f>
        <v>61490.299999999996</v>
      </c>
      <c r="H13" s="123">
        <f t="shared" si="1"/>
        <v>20.40925179496984</v>
      </c>
      <c r="I13" s="123">
        <f t="shared" si="8"/>
        <v>6660</v>
      </c>
      <c r="J13" s="123">
        <f t="shared" si="8"/>
        <v>18204.3</v>
      </c>
      <c r="K13" s="123">
        <f>J13/I13*100</f>
        <v>273.33783783783781</v>
      </c>
      <c r="L13" s="123">
        <f t="shared" si="8"/>
        <v>32305.4</v>
      </c>
      <c r="M13" s="123">
        <f t="shared" si="8"/>
        <v>23626.699999999997</v>
      </c>
      <c r="N13" s="123">
        <f>M13/L13*100</f>
        <v>73.135451039145153</v>
      </c>
      <c r="O13" s="123">
        <f t="shared" si="8"/>
        <v>27055.399999999998</v>
      </c>
      <c r="P13" s="123">
        <f t="shared" si="8"/>
        <v>19659.3</v>
      </c>
      <c r="Q13" s="123">
        <f>P13/O13*100</f>
        <v>72.66312824796529</v>
      </c>
      <c r="R13" s="123">
        <f t="shared" ref="R13:AR13" si="9">SUM(R14:R16)</f>
        <v>31994.9</v>
      </c>
      <c r="S13" s="123">
        <f t="shared" si="9"/>
        <v>0</v>
      </c>
      <c r="T13" s="123">
        <f>S13/R13*100</f>
        <v>0</v>
      </c>
      <c r="U13" s="123">
        <f t="shared" si="9"/>
        <v>24241.5</v>
      </c>
      <c r="V13" s="123">
        <f t="shared" si="9"/>
        <v>0</v>
      </c>
      <c r="W13" s="123">
        <f>V13/U13*100</f>
        <v>0</v>
      </c>
      <c r="X13" s="123">
        <f t="shared" si="9"/>
        <v>27456.999999999996</v>
      </c>
      <c r="Y13" s="123">
        <f t="shared" si="9"/>
        <v>0</v>
      </c>
      <c r="Z13" s="123">
        <f t="shared" si="9"/>
        <v>0</v>
      </c>
      <c r="AA13" s="104">
        <f t="shared" si="9"/>
        <v>37585.5</v>
      </c>
      <c r="AB13" s="123">
        <f t="shared" si="9"/>
        <v>0</v>
      </c>
      <c r="AC13" s="123">
        <f t="shared" si="9"/>
        <v>0</v>
      </c>
      <c r="AD13" s="104">
        <f t="shared" si="9"/>
        <v>26895.1</v>
      </c>
      <c r="AE13" s="104">
        <f t="shared" si="9"/>
        <v>0</v>
      </c>
      <c r="AF13" s="104">
        <f t="shared" si="7"/>
        <v>0</v>
      </c>
      <c r="AG13" s="104">
        <f t="shared" si="9"/>
        <v>18474.699999999997</v>
      </c>
      <c r="AH13" s="123">
        <f t="shared" si="9"/>
        <v>0</v>
      </c>
      <c r="AI13" s="123">
        <v>0</v>
      </c>
      <c r="AJ13" s="123">
        <f t="shared" si="9"/>
        <v>15428.3</v>
      </c>
      <c r="AK13" s="123">
        <f t="shared" si="9"/>
        <v>0</v>
      </c>
      <c r="AL13" s="123">
        <f t="shared" si="9"/>
        <v>0</v>
      </c>
      <c r="AM13" s="104">
        <f t="shared" si="9"/>
        <v>16324.299999999997</v>
      </c>
      <c r="AN13" s="123">
        <f t="shared" si="9"/>
        <v>0</v>
      </c>
      <c r="AO13" s="123">
        <f t="shared" si="9"/>
        <v>0</v>
      </c>
      <c r="AP13" s="104">
        <f t="shared" si="9"/>
        <v>36864.300000000003</v>
      </c>
      <c r="AQ13" s="123">
        <f t="shared" si="9"/>
        <v>0</v>
      </c>
      <c r="AR13" s="123">
        <f t="shared" si="9"/>
        <v>0</v>
      </c>
      <c r="AS13" s="324" t="s">
        <v>430</v>
      </c>
      <c r="AT13" s="406" t="s">
        <v>428</v>
      </c>
      <c r="AU13" s="121"/>
      <c r="AV13" s="121"/>
      <c r="AW13" s="155"/>
    </row>
    <row r="14" spans="1:49" s="31" customFormat="1" ht="36">
      <c r="A14" s="316"/>
      <c r="B14" s="319"/>
      <c r="C14" s="322"/>
      <c r="D14" s="322"/>
      <c r="E14" s="108" t="s">
        <v>3</v>
      </c>
      <c r="F14" s="123">
        <f>I14+L14+O14+R14+U14+X14+AA14+AD14+AG14+AJ14+AM14+AP14</f>
        <v>91986.599999999977</v>
      </c>
      <c r="G14" s="123">
        <f>J14+M14+P14+S14+V14+Y14+AB14+AE14+AH14+AK14+AN14+AQ14</f>
        <v>13734.2</v>
      </c>
      <c r="H14" s="123">
        <f t="shared" si="1"/>
        <v>14.930652942928649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6488.1</v>
      </c>
      <c r="N14" s="123">
        <f>M14/L14*100</f>
        <v>98.694838680235492</v>
      </c>
      <c r="O14" s="123">
        <f>5300+79.4+1165.4-6.3+184.6-147.7+295.4</f>
        <v>6870.7999999999993</v>
      </c>
      <c r="P14" s="123">
        <v>6419.5</v>
      </c>
      <c r="Q14" s="123">
        <f>P14/O14*100</f>
        <v>93.431623682831699</v>
      </c>
      <c r="R14" s="123">
        <f>5300+226+5+1479.9</f>
        <v>7010.9</v>
      </c>
      <c r="S14" s="123">
        <v>0</v>
      </c>
      <c r="T14" s="123">
        <v>0</v>
      </c>
      <c r="U14" s="117">
        <f>5300+19.7+79.4+21+897.9+136</f>
        <v>6453.9999999999991</v>
      </c>
      <c r="V14" s="117">
        <v>0</v>
      </c>
      <c r="W14" s="117">
        <v>0</v>
      </c>
      <c r="X14" s="117">
        <f>6259+53.9+5+1168.2-27.8+0.1</f>
        <v>7458.4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7486+216.1+5+1166.4-53.2</f>
        <v>8820.2999999999993</v>
      </c>
      <c r="AE14" s="117">
        <v>0</v>
      </c>
      <c r="AF14" s="117">
        <v>0</v>
      </c>
      <c r="AG14" s="117">
        <f>108.1+5300+71+123+136.5+561.4+365.7-0.1</f>
        <v>6665.5999999999995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11.1+17482.4+151.9+226.6+1870.8-217.2-85+395.6-82.8</f>
        <v>19753.399999999998</v>
      </c>
      <c r="AQ14" s="123"/>
      <c r="AR14" s="123"/>
      <c r="AS14" s="325"/>
      <c r="AT14" s="407"/>
      <c r="AU14" s="121"/>
      <c r="AV14" s="121"/>
      <c r="AW14" s="155"/>
    </row>
    <row r="15" spans="1:49" s="31" customFormat="1" ht="12.75">
      <c r="A15" s="316"/>
      <c r="B15" s="319"/>
      <c r="C15" s="322"/>
      <c r="D15" s="322"/>
      <c r="E15" s="108" t="s">
        <v>44</v>
      </c>
      <c r="F15" s="123">
        <f t="shared" ref="F15:G16" si="10">I15+L15+O15+R15+U15+X15+AA15+AD15+AG15+AJ15+AM15+AP15</f>
        <v>203467.69999999998</v>
      </c>
      <c r="G15" s="123">
        <f t="shared" si="10"/>
        <v>46950.2</v>
      </c>
      <c r="H15" s="123">
        <f t="shared" si="1"/>
        <v>23.075013871980662</v>
      </c>
      <c r="I15" s="123">
        <v>5548.2</v>
      </c>
      <c r="J15" s="123">
        <v>17377.7</v>
      </c>
      <c r="K15" s="123">
        <f>J15/I15*100</f>
        <v>313.213294401788</v>
      </c>
      <c r="L15" s="123">
        <f>517.2+2195.7+21252+496.8+361.9+645.7-74+0.3-0.6</f>
        <v>25395.000000000004</v>
      </c>
      <c r="M15" s="123">
        <v>16917</v>
      </c>
      <c r="N15" s="123">
        <f t="shared" ref="N15:N22" si="11">M15/L15*100</f>
        <v>66.615475487300628</v>
      </c>
      <c r="O15" s="123">
        <f>938.9+1669.1+15140.2+361.8+251.7+81+61.3-1+41.1+913.8+0.4</f>
        <v>19458.3</v>
      </c>
      <c r="P15" s="123">
        <v>12655.5</v>
      </c>
      <c r="Q15" s="123">
        <f t="shared" ref="Q15:Q22" si="12">P15/O15*100</f>
        <v>65.039083578729901</v>
      </c>
      <c r="R15" s="123">
        <f>662.3+2139.5+21249.9+500+398.9+68.6+40-815.8</f>
        <v>24243.4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334.2+1608.2+15696.6+500+535.6+174.6-0.2-122.8+820.7</f>
        <v>19546.899999999998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410.5+1275+9041.8+500+537.9+527.3-0.2-784.8</f>
        <v>11507.499999999998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257+1140.6+13806+958+795.4-41.1-98+74.1-0.3+0.6-36.2</f>
        <v>16856.099999999999</v>
      </c>
      <c r="AQ15" s="123"/>
      <c r="AR15" s="123"/>
      <c r="AS15" s="325"/>
      <c r="AT15" s="407"/>
      <c r="AU15" s="121"/>
      <c r="AV15" s="121"/>
      <c r="AW15" s="155"/>
    </row>
    <row r="16" spans="1:49" s="31" customFormat="1" ht="71.25" customHeight="1">
      <c r="A16" s="317"/>
      <c r="B16" s="320"/>
      <c r="C16" s="323"/>
      <c r="D16" s="323"/>
      <c r="E16" s="109" t="s">
        <v>257</v>
      </c>
      <c r="F16" s="123">
        <f t="shared" si="10"/>
        <v>5832.0999999999995</v>
      </c>
      <c r="G16" s="123">
        <f t="shared" si="10"/>
        <v>805.9</v>
      </c>
      <c r="H16" s="123">
        <f t="shared" si="1"/>
        <v>13.818350165463556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221.6</v>
      </c>
      <c r="N16" s="123">
        <f t="shared" si="11"/>
        <v>65.854383358098062</v>
      </c>
      <c r="O16" s="123">
        <f>811.3-84.7-0.3</f>
        <v>726.3</v>
      </c>
      <c r="P16" s="123">
        <v>584.29999999999995</v>
      </c>
      <c r="Q16" s="123">
        <f t="shared" si="12"/>
        <v>80.448850337326178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f>352.8+98.9</f>
        <v>451.70000000000005</v>
      </c>
      <c r="Y16" s="117">
        <v>0</v>
      </c>
      <c r="Z16" s="117">
        <v>0</v>
      </c>
      <c r="AA16" s="123">
        <f>825.5-156.4</f>
        <v>669.1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f>441.7+84.7</f>
        <v>526.4</v>
      </c>
      <c r="AN16" s="117">
        <v>0</v>
      </c>
      <c r="AO16" s="117">
        <v>0</v>
      </c>
      <c r="AP16" s="117">
        <f>197+57.8</f>
        <v>254.8</v>
      </c>
      <c r="AQ16" s="123"/>
      <c r="AR16" s="123"/>
      <c r="AS16" s="326"/>
      <c r="AT16" s="408"/>
      <c r="AU16" s="121"/>
      <c r="AV16" s="121"/>
      <c r="AW16" s="155"/>
    </row>
    <row r="17" spans="1:49" s="31" customFormat="1" ht="12.75">
      <c r="A17" s="315" t="s">
        <v>327</v>
      </c>
      <c r="B17" s="318" t="s">
        <v>328</v>
      </c>
      <c r="C17" s="321" t="s">
        <v>329</v>
      </c>
      <c r="D17" s="327" t="s">
        <v>330</v>
      </c>
      <c r="E17" s="107" t="s">
        <v>42</v>
      </c>
      <c r="F17" s="123">
        <f>SUM(F18:F20)</f>
        <v>77800</v>
      </c>
      <c r="G17" s="123">
        <f t="shared" ref="G17:P17" si="15">SUM(G18:G20)</f>
        <v>18872.599999999999</v>
      </c>
      <c r="H17" s="123">
        <f t="shared" si="1"/>
        <v>24.257840616966579</v>
      </c>
      <c r="I17" s="123">
        <f t="shared" si="15"/>
        <v>6091.6</v>
      </c>
      <c r="J17" s="123">
        <f t="shared" si="15"/>
        <v>6082.4</v>
      </c>
      <c r="K17" s="123">
        <f>J17/I17*100</f>
        <v>99.848972355374599</v>
      </c>
      <c r="L17" s="123">
        <f t="shared" si="15"/>
        <v>6886.9</v>
      </c>
      <c r="M17" s="123">
        <f t="shared" si="15"/>
        <v>6744.5</v>
      </c>
      <c r="N17" s="123">
        <f t="shared" si="11"/>
        <v>97.932306262614532</v>
      </c>
      <c r="O17" s="123">
        <f t="shared" si="15"/>
        <v>6537.7</v>
      </c>
      <c r="P17" s="123">
        <f t="shared" si="15"/>
        <v>6045.7</v>
      </c>
      <c r="Q17" s="123">
        <f t="shared" si="12"/>
        <v>92.474417608639129</v>
      </c>
      <c r="R17" s="123">
        <f t="shared" ref="R17:AB17" si="16">SUM(R18:R20)</f>
        <v>6898.7</v>
      </c>
      <c r="S17" s="123">
        <f t="shared" si="16"/>
        <v>0</v>
      </c>
      <c r="T17" s="123">
        <f t="shared" si="13"/>
        <v>0</v>
      </c>
      <c r="U17" s="123">
        <f t="shared" si="16"/>
        <v>6826.3</v>
      </c>
      <c r="V17" s="123">
        <f t="shared" si="16"/>
        <v>0</v>
      </c>
      <c r="W17" s="123">
        <f t="shared" ref="W17" si="17">V17/U17*100</f>
        <v>0</v>
      </c>
      <c r="X17" s="123">
        <f t="shared" si="16"/>
        <v>9052.9</v>
      </c>
      <c r="Y17" s="123">
        <f t="shared" si="16"/>
        <v>0</v>
      </c>
      <c r="Z17" s="123">
        <f>Y17/X17*100</f>
        <v>0</v>
      </c>
      <c r="AA17" s="104">
        <f t="shared" si="16"/>
        <v>7429.2</v>
      </c>
      <c r="AB17" s="123">
        <f t="shared" si="16"/>
        <v>0</v>
      </c>
      <c r="AC17" s="123">
        <f>SUM(AC18:AC20)</f>
        <v>0</v>
      </c>
      <c r="AD17" s="104">
        <f t="shared" ref="AD17:AR17" si="18">SUM(AD18:AD20)</f>
        <v>6016.2</v>
      </c>
      <c r="AE17" s="104">
        <f t="shared" si="18"/>
        <v>0</v>
      </c>
      <c r="AF17" s="104">
        <f t="shared" si="7"/>
        <v>0</v>
      </c>
      <c r="AG17" s="104">
        <f t="shared" si="18"/>
        <v>5470</v>
      </c>
      <c r="AH17" s="123">
        <f t="shared" si="18"/>
        <v>0</v>
      </c>
      <c r="AI17" s="123">
        <f t="shared" si="18"/>
        <v>0</v>
      </c>
      <c r="AJ17" s="123">
        <f t="shared" si="18"/>
        <v>5538.5</v>
      </c>
      <c r="AK17" s="123">
        <f t="shared" si="18"/>
        <v>0</v>
      </c>
      <c r="AL17" s="123">
        <f t="shared" si="18"/>
        <v>0</v>
      </c>
      <c r="AM17" s="104">
        <f t="shared" si="18"/>
        <v>5036.7</v>
      </c>
      <c r="AN17" s="123">
        <f t="shared" si="18"/>
        <v>0</v>
      </c>
      <c r="AO17" s="123">
        <f t="shared" si="18"/>
        <v>0</v>
      </c>
      <c r="AP17" s="104">
        <f t="shared" si="18"/>
        <v>6015.3</v>
      </c>
      <c r="AQ17" s="123">
        <f t="shared" si="18"/>
        <v>0</v>
      </c>
      <c r="AR17" s="123">
        <f t="shared" si="18"/>
        <v>0</v>
      </c>
      <c r="AS17" s="324" t="s">
        <v>408</v>
      </c>
      <c r="AT17" s="406" t="s">
        <v>406</v>
      </c>
      <c r="AU17" s="121"/>
      <c r="AV17" s="121"/>
      <c r="AW17" s="155"/>
    </row>
    <row r="18" spans="1:49" s="31" customFormat="1" ht="36">
      <c r="A18" s="316"/>
      <c r="B18" s="319"/>
      <c r="C18" s="322"/>
      <c r="D18" s="328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25"/>
      <c r="AT18" s="407"/>
      <c r="AU18" s="121"/>
      <c r="AV18" s="121"/>
      <c r="AW18" s="155"/>
    </row>
    <row r="19" spans="1:49" s="31" customFormat="1" ht="12.75">
      <c r="A19" s="316"/>
      <c r="B19" s="319"/>
      <c r="C19" s="322"/>
      <c r="D19" s="328"/>
      <c r="E19" s="108" t="s">
        <v>44</v>
      </c>
      <c r="F19" s="123">
        <f t="shared" ref="F19:G20" si="19">I19+L19+O19+R19+U19+X19+AA19+AD19+AG19+AJ19+AM19+AP19</f>
        <v>77800</v>
      </c>
      <c r="G19" s="123">
        <f t="shared" si="19"/>
        <v>18872.599999999999</v>
      </c>
      <c r="H19" s="123">
        <f>G19/F19*100</f>
        <v>24.257840616966579</v>
      </c>
      <c r="I19" s="123">
        <v>6091.6</v>
      </c>
      <c r="J19" s="123">
        <v>6082.4</v>
      </c>
      <c r="K19" s="123">
        <f t="shared" ref="K19" si="20">J19/I19*100</f>
        <v>99.848972355374599</v>
      </c>
      <c r="L19" s="123">
        <v>6886.9</v>
      </c>
      <c r="M19" s="123">
        <v>6744.5</v>
      </c>
      <c r="N19" s="123">
        <v>0</v>
      </c>
      <c r="O19" s="123">
        <v>6537.7</v>
      </c>
      <c r="P19" s="123">
        <v>6045.7</v>
      </c>
      <c r="Q19" s="123">
        <v>0</v>
      </c>
      <c r="R19" s="123">
        <v>6898.7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9052.9</v>
      </c>
      <c r="Y19" s="117">
        <v>0</v>
      </c>
      <c r="Z19" s="117">
        <v>0</v>
      </c>
      <c r="AA19" s="123">
        <v>7429.2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5538.5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6015.3</v>
      </c>
      <c r="AQ19" s="123"/>
      <c r="AR19" s="123"/>
      <c r="AS19" s="325"/>
      <c r="AT19" s="407"/>
      <c r="AU19" s="121"/>
      <c r="AV19" s="121"/>
      <c r="AW19" s="155"/>
    </row>
    <row r="20" spans="1:49" s="31" customFormat="1" ht="73.5" customHeight="1">
      <c r="A20" s="317"/>
      <c r="B20" s="320"/>
      <c r="C20" s="323"/>
      <c r="D20" s="334"/>
      <c r="E20" s="109" t="s">
        <v>257</v>
      </c>
      <c r="F20" s="123">
        <f t="shared" si="19"/>
        <v>0</v>
      </c>
      <c r="G20" s="123">
        <f t="shared" si="19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26"/>
      <c r="AT20" s="408"/>
      <c r="AU20" s="121"/>
      <c r="AV20" s="121"/>
      <c r="AW20" s="155"/>
    </row>
    <row r="21" spans="1:49" s="31" customFormat="1" ht="59.25" customHeight="1">
      <c r="A21" s="190" t="s">
        <v>331</v>
      </c>
      <c r="B21" s="210" t="s">
        <v>332</v>
      </c>
      <c r="C21" s="186" t="s">
        <v>333</v>
      </c>
      <c r="D21" s="187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88"/>
      <c r="AT21" s="189"/>
      <c r="AU21" s="121"/>
      <c r="AV21" s="121"/>
      <c r="AW21" s="155"/>
    </row>
    <row r="22" spans="1:49" s="31" customFormat="1" ht="12.75">
      <c r="A22" s="315" t="s">
        <v>334</v>
      </c>
      <c r="B22" s="318" t="s">
        <v>335</v>
      </c>
      <c r="C22" s="321" t="s">
        <v>268</v>
      </c>
      <c r="D22" s="327" t="s">
        <v>336</v>
      </c>
      <c r="E22" s="107" t="s">
        <v>42</v>
      </c>
      <c r="F22" s="123">
        <f>SUM(F23:F24)</f>
        <v>3987.3</v>
      </c>
      <c r="G22" s="123">
        <f>SUM(G23:G24)</f>
        <v>954.4</v>
      </c>
      <c r="H22" s="123">
        <f>G22/F22*100</f>
        <v>23.935996789807636</v>
      </c>
      <c r="I22" s="123">
        <f>SUM(I23:I24)</f>
        <v>326</v>
      </c>
      <c r="J22" s="123">
        <f>SUM(J23:J24)</f>
        <v>326.39999999999998</v>
      </c>
      <c r="K22" s="123">
        <f t="shared" ref="K22:K26" si="21">J22/I22*100</f>
        <v>100.12269938650307</v>
      </c>
      <c r="L22" s="123">
        <f>SUM(L23:L24)</f>
        <v>326</v>
      </c>
      <c r="M22" s="123">
        <f>SUM(M23:M24)</f>
        <v>313.89999999999998</v>
      </c>
      <c r="N22" s="123">
        <f t="shared" si="11"/>
        <v>96.288343558282193</v>
      </c>
      <c r="O22" s="123">
        <f>SUM(O23:O24)</f>
        <v>326</v>
      </c>
      <c r="P22" s="123">
        <f>SUM(P23:P24)</f>
        <v>314.10000000000002</v>
      </c>
      <c r="Q22" s="123">
        <f t="shared" si="12"/>
        <v>96.349693251533751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2">V22/U22*100</f>
        <v>0</v>
      </c>
      <c r="X22" s="123">
        <f t="shared" ref="X22:AE22" si="23">SUM(X23:X24)</f>
        <v>326</v>
      </c>
      <c r="Y22" s="123">
        <f t="shared" si="23"/>
        <v>0</v>
      </c>
      <c r="Z22" s="123">
        <f t="shared" si="23"/>
        <v>0</v>
      </c>
      <c r="AA22" s="104">
        <f t="shared" si="23"/>
        <v>326</v>
      </c>
      <c r="AB22" s="123">
        <f t="shared" si="23"/>
        <v>0</v>
      </c>
      <c r="AC22" s="123">
        <f t="shared" si="23"/>
        <v>0</v>
      </c>
      <c r="AD22" s="104">
        <f t="shared" si="23"/>
        <v>326</v>
      </c>
      <c r="AE22" s="104">
        <f t="shared" si="23"/>
        <v>0</v>
      </c>
      <c r="AF22" s="104">
        <f t="shared" si="7"/>
        <v>0</v>
      </c>
      <c r="AG22" s="104">
        <f t="shared" ref="AG22:AR22" si="24">SUM(AG23:AG24)</f>
        <v>326</v>
      </c>
      <c r="AH22" s="123">
        <f t="shared" si="24"/>
        <v>0</v>
      </c>
      <c r="AI22" s="123">
        <f t="shared" si="24"/>
        <v>0</v>
      </c>
      <c r="AJ22" s="123">
        <f t="shared" si="24"/>
        <v>326</v>
      </c>
      <c r="AK22" s="123">
        <f t="shared" si="24"/>
        <v>0</v>
      </c>
      <c r="AL22" s="123">
        <f t="shared" si="24"/>
        <v>0</v>
      </c>
      <c r="AM22" s="104">
        <f t="shared" si="24"/>
        <v>326</v>
      </c>
      <c r="AN22" s="123">
        <f t="shared" si="24"/>
        <v>0</v>
      </c>
      <c r="AO22" s="123">
        <f t="shared" si="24"/>
        <v>0</v>
      </c>
      <c r="AP22" s="104">
        <f t="shared" si="24"/>
        <v>401.3</v>
      </c>
      <c r="AQ22" s="123">
        <f t="shared" si="24"/>
        <v>0</v>
      </c>
      <c r="AR22" s="123">
        <f t="shared" si="24"/>
        <v>0</v>
      </c>
      <c r="AS22" s="324" t="s">
        <v>410</v>
      </c>
      <c r="AT22" s="329"/>
      <c r="AU22" s="121"/>
      <c r="AV22" s="121"/>
      <c r="AW22" s="155"/>
    </row>
    <row r="23" spans="1:49" s="31" customFormat="1" ht="36">
      <c r="A23" s="316"/>
      <c r="B23" s="319"/>
      <c r="C23" s="322"/>
      <c r="D23" s="328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25"/>
      <c r="AT23" s="330"/>
      <c r="AU23" s="121"/>
      <c r="AV23" s="121"/>
      <c r="AW23" s="155"/>
    </row>
    <row r="24" spans="1:49" s="31" customFormat="1" ht="23.25" customHeight="1">
      <c r="A24" s="316"/>
      <c r="B24" s="319"/>
      <c r="C24" s="322"/>
      <c r="D24" s="328"/>
      <c r="E24" s="108" t="s">
        <v>44</v>
      </c>
      <c r="F24" s="123">
        <f t="shared" ref="F24:G24" si="25">I24+L24+O24+R24+U24+X24+AA24+AD24+AG24+AJ24+AM24+AP24</f>
        <v>3987.3</v>
      </c>
      <c r="G24" s="123">
        <f t="shared" si="25"/>
        <v>954.4</v>
      </c>
      <c r="H24" s="123">
        <v>0</v>
      </c>
      <c r="I24" s="123">
        <v>326</v>
      </c>
      <c r="J24" s="123">
        <v>326.39999999999998</v>
      </c>
      <c r="K24" s="123">
        <f t="shared" si="21"/>
        <v>100.12269938650307</v>
      </c>
      <c r="L24" s="123">
        <v>326</v>
      </c>
      <c r="M24" s="123">
        <v>313.89999999999998</v>
      </c>
      <c r="N24" s="123">
        <f t="shared" ref="N24" si="26">M24/L24*100</f>
        <v>96.288343558282193</v>
      </c>
      <c r="O24" s="123">
        <v>326</v>
      </c>
      <c r="P24" s="123">
        <v>314.10000000000002</v>
      </c>
      <c r="Q24" s="123">
        <f t="shared" ref="Q24" si="27">P24/O24*100</f>
        <v>96.349693251533751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25"/>
      <c r="AT24" s="330"/>
      <c r="AU24" s="121"/>
      <c r="AV24" s="121"/>
      <c r="AW24" s="155"/>
    </row>
    <row r="25" spans="1:49" s="31" customFormat="1" ht="12.75">
      <c r="A25" s="315" t="s">
        <v>337</v>
      </c>
      <c r="B25" s="356" t="s">
        <v>338</v>
      </c>
      <c r="C25" s="321" t="s">
        <v>339</v>
      </c>
      <c r="D25" s="327" t="s">
        <v>340</v>
      </c>
      <c r="E25" s="107" t="s">
        <v>42</v>
      </c>
      <c r="F25" s="123">
        <f>SUM(F26:F28)</f>
        <v>5215.6000000000004</v>
      </c>
      <c r="G25" s="123">
        <f t="shared" ref="G25:P25" si="28">SUM(G26:G28)</f>
        <v>868.69999999999993</v>
      </c>
      <c r="H25" s="123">
        <f>G25/F25*100</f>
        <v>16.655801825293349</v>
      </c>
      <c r="I25" s="123">
        <f t="shared" si="28"/>
        <v>108.8</v>
      </c>
      <c r="J25" s="123">
        <f t="shared" si="28"/>
        <v>97.9</v>
      </c>
      <c r="K25" s="123">
        <f t="shared" si="21"/>
        <v>89.981617647058826</v>
      </c>
      <c r="L25" s="123">
        <f t="shared" si="28"/>
        <v>584.9</v>
      </c>
      <c r="M25" s="123">
        <f t="shared" si="28"/>
        <v>463.5</v>
      </c>
      <c r="N25" s="123">
        <f t="shared" ref="N25:N26" si="29">M25/L25*100</f>
        <v>79.244315267567117</v>
      </c>
      <c r="O25" s="123">
        <f t="shared" si="28"/>
        <v>371.1</v>
      </c>
      <c r="P25" s="123">
        <f t="shared" si="28"/>
        <v>307.29999999999995</v>
      </c>
      <c r="Q25" s="123">
        <f t="shared" ref="Q25:Q26" si="30">P25/O25*100</f>
        <v>82.807868499056838</v>
      </c>
      <c r="R25" s="123">
        <f t="shared" ref="R25:Z25" si="31">SUM(R26:R28)</f>
        <v>368.4</v>
      </c>
      <c r="S25" s="123">
        <f t="shared" si="31"/>
        <v>0</v>
      </c>
      <c r="T25" s="123">
        <v>0</v>
      </c>
      <c r="U25" s="123">
        <f t="shared" si="31"/>
        <v>399</v>
      </c>
      <c r="V25" s="123">
        <f t="shared" si="31"/>
        <v>0</v>
      </c>
      <c r="W25" s="123">
        <f t="shared" si="31"/>
        <v>0</v>
      </c>
      <c r="X25" s="123">
        <f t="shared" si="31"/>
        <v>605.5</v>
      </c>
      <c r="Y25" s="123">
        <f t="shared" si="31"/>
        <v>0</v>
      </c>
      <c r="Z25" s="123">
        <f t="shared" si="31"/>
        <v>0</v>
      </c>
      <c r="AA25" s="104">
        <f t="shared" ref="AA25:AB25" si="32">SUM(AA26:AA28)</f>
        <v>665.80000000000007</v>
      </c>
      <c r="AB25" s="123">
        <f t="shared" si="32"/>
        <v>0</v>
      </c>
      <c r="AC25" s="123">
        <f>SUM(AC26:AC28)</f>
        <v>0</v>
      </c>
      <c r="AD25" s="104">
        <f t="shared" ref="AD25:AR25" si="33">SUM(AD26:AD28)</f>
        <v>633.1</v>
      </c>
      <c r="AE25" s="104">
        <f t="shared" si="33"/>
        <v>0</v>
      </c>
      <c r="AF25" s="104">
        <f t="shared" si="7"/>
        <v>0</v>
      </c>
      <c r="AG25" s="104">
        <f t="shared" si="33"/>
        <v>520.70000000000005</v>
      </c>
      <c r="AH25" s="123">
        <f t="shared" si="33"/>
        <v>0</v>
      </c>
      <c r="AI25" s="104">
        <f t="shared" ref="AI25" si="34">AH25/AG25*100</f>
        <v>0</v>
      </c>
      <c r="AJ25" s="123">
        <f t="shared" si="33"/>
        <v>538.09999999999991</v>
      </c>
      <c r="AK25" s="123">
        <f t="shared" si="33"/>
        <v>0</v>
      </c>
      <c r="AL25" s="123">
        <f t="shared" si="33"/>
        <v>0</v>
      </c>
      <c r="AM25" s="104">
        <f t="shared" si="33"/>
        <v>200.2</v>
      </c>
      <c r="AN25" s="123">
        <f t="shared" si="33"/>
        <v>0</v>
      </c>
      <c r="AO25" s="123">
        <f t="shared" si="33"/>
        <v>0</v>
      </c>
      <c r="AP25" s="104">
        <f t="shared" si="33"/>
        <v>220</v>
      </c>
      <c r="AQ25" s="123">
        <f t="shared" si="33"/>
        <v>0</v>
      </c>
      <c r="AR25" s="123">
        <f t="shared" si="33"/>
        <v>0</v>
      </c>
      <c r="AS25" s="324" t="s">
        <v>407</v>
      </c>
      <c r="AT25" s="412" t="s">
        <v>409</v>
      </c>
      <c r="AU25" s="121"/>
      <c r="AV25" s="121"/>
      <c r="AW25" s="155"/>
    </row>
    <row r="26" spans="1:49" s="31" customFormat="1" ht="36">
      <c r="A26" s="316"/>
      <c r="B26" s="357"/>
      <c r="C26" s="322"/>
      <c r="D26" s="328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156.89999999999998</v>
      </c>
      <c r="H26" s="123">
        <f>G26/F26*100</f>
        <v>6.1592211666797505</v>
      </c>
      <c r="I26" s="104">
        <v>0</v>
      </c>
      <c r="J26" s="104">
        <v>0</v>
      </c>
      <c r="K26" s="123" t="e">
        <f t="shared" si="21"/>
        <v>#DIV/0!</v>
      </c>
      <c r="L26" s="126">
        <v>124.5</v>
      </c>
      <c r="M26" s="104">
        <v>43.8</v>
      </c>
      <c r="N26" s="123">
        <f t="shared" si="29"/>
        <v>35.180722891566262</v>
      </c>
      <c r="O26" s="104">
        <f>124.6+15.4</f>
        <v>140</v>
      </c>
      <c r="P26" s="104">
        <v>113.1</v>
      </c>
      <c r="Q26" s="123">
        <f t="shared" si="30"/>
        <v>80.785714285714278</v>
      </c>
      <c r="R26" s="104">
        <f>124.5+15.4</f>
        <v>139.9</v>
      </c>
      <c r="S26" s="104">
        <v>0</v>
      </c>
      <c r="T26" s="123">
        <v>0</v>
      </c>
      <c r="U26" s="105">
        <f>141.4+21</f>
        <v>162.4</v>
      </c>
      <c r="V26" s="105">
        <v>0</v>
      </c>
      <c r="W26" s="105">
        <v>0</v>
      </c>
      <c r="X26" s="105">
        <f>141.4+189</f>
        <v>330.4</v>
      </c>
      <c r="Y26" s="105">
        <v>0</v>
      </c>
      <c r="Z26" s="105">
        <f>Y26/X26*100</f>
        <v>0</v>
      </c>
      <c r="AA26" s="105">
        <f>165.8+183.4</f>
        <v>349.20000000000005</v>
      </c>
      <c r="AB26" s="105">
        <v>0</v>
      </c>
      <c r="AC26" s="105">
        <f>AB26/AA26*100</f>
        <v>0</v>
      </c>
      <c r="AD26" s="105">
        <f>165.8+182</f>
        <v>347.8</v>
      </c>
      <c r="AE26" s="105">
        <v>0</v>
      </c>
      <c r="AF26" s="105">
        <f>AE26/AD26*100</f>
        <v>0</v>
      </c>
      <c r="AG26" s="105">
        <f>140.4+122.7+49</f>
        <v>312.10000000000002</v>
      </c>
      <c r="AH26" s="105">
        <v>0</v>
      </c>
      <c r="AI26" s="105">
        <f>AH26/AG26*100</f>
        <v>0</v>
      </c>
      <c r="AJ26" s="104">
        <f>235.9+21</f>
        <v>256.89999999999998</v>
      </c>
      <c r="AK26" s="104">
        <v>0</v>
      </c>
      <c r="AL26" s="104">
        <v>0</v>
      </c>
      <c r="AM26" s="105">
        <f>143.2+21</f>
        <v>164.2</v>
      </c>
      <c r="AN26" s="105">
        <v>0</v>
      </c>
      <c r="AO26" s="105">
        <v>0</v>
      </c>
      <c r="AP26" s="104">
        <v>220</v>
      </c>
      <c r="AQ26" s="104"/>
      <c r="AR26" s="104"/>
      <c r="AS26" s="325"/>
      <c r="AT26" s="413"/>
      <c r="AU26" s="121"/>
      <c r="AV26" s="121"/>
      <c r="AW26" s="155"/>
    </row>
    <row r="27" spans="1:49" s="31" customFormat="1" ht="12.75">
      <c r="A27" s="316"/>
      <c r="B27" s="357"/>
      <c r="C27" s="322"/>
      <c r="D27" s="328"/>
      <c r="E27" s="108" t="s">
        <v>44</v>
      </c>
      <c r="F27" s="123">
        <f t="shared" ref="F27:G28" si="35">I27+L27+O27+R27+U27+X27+AA27+AD27+AG27+AJ27+AM27+AP27</f>
        <v>2668.2</v>
      </c>
      <c r="G27" s="123">
        <f t="shared" si="35"/>
        <v>711.8</v>
      </c>
      <c r="H27" s="123">
        <v>0</v>
      </c>
      <c r="I27" s="123">
        <v>108.8</v>
      </c>
      <c r="J27" s="123">
        <v>97.9</v>
      </c>
      <c r="K27" s="123">
        <v>0</v>
      </c>
      <c r="L27" s="123">
        <v>460.4</v>
      </c>
      <c r="M27" s="123">
        <v>419.7</v>
      </c>
      <c r="N27" s="123">
        <v>0</v>
      </c>
      <c r="O27" s="123">
        <v>231.1</v>
      </c>
      <c r="P27" s="123">
        <v>194.2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36</v>
      </c>
      <c r="AN27" s="117">
        <v>0</v>
      </c>
      <c r="AO27" s="117">
        <v>0</v>
      </c>
      <c r="AP27" s="117">
        <v>0</v>
      </c>
      <c r="AQ27" s="123"/>
      <c r="AR27" s="123"/>
      <c r="AS27" s="325"/>
      <c r="AT27" s="413"/>
      <c r="AU27" s="121"/>
      <c r="AV27" s="121"/>
      <c r="AW27" s="155"/>
    </row>
    <row r="28" spans="1:49" s="31" customFormat="1" ht="87" customHeight="1">
      <c r="A28" s="317"/>
      <c r="B28" s="358"/>
      <c r="C28" s="323"/>
      <c r="D28" s="334"/>
      <c r="E28" s="109" t="s">
        <v>257</v>
      </c>
      <c r="F28" s="123">
        <f t="shared" si="35"/>
        <v>0</v>
      </c>
      <c r="G28" s="123">
        <f t="shared" si="35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26"/>
      <c r="AT28" s="414"/>
      <c r="AU28" s="121"/>
      <c r="AV28" s="121"/>
      <c r="AW28" s="155"/>
    </row>
    <row r="29" spans="1:49" s="31" customFormat="1" ht="12.75">
      <c r="A29" s="315" t="s">
        <v>341</v>
      </c>
      <c r="B29" s="318" t="s">
        <v>342</v>
      </c>
      <c r="C29" s="321" t="s">
        <v>268</v>
      </c>
      <c r="D29" s="327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6">SUM(U30:U31)</f>
        <v>0</v>
      </c>
      <c r="V29" s="123">
        <f t="shared" si="36"/>
        <v>0</v>
      </c>
      <c r="W29" s="123">
        <f t="shared" si="36"/>
        <v>0</v>
      </c>
      <c r="X29" s="123">
        <f t="shared" si="36"/>
        <v>0</v>
      </c>
      <c r="Y29" s="123">
        <f t="shared" si="36"/>
        <v>0</v>
      </c>
      <c r="Z29" s="123">
        <f t="shared" si="36"/>
        <v>0</v>
      </c>
      <c r="AA29" s="104">
        <f t="shared" si="36"/>
        <v>0</v>
      </c>
      <c r="AB29" s="123">
        <f t="shared" si="36"/>
        <v>0</v>
      </c>
      <c r="AC29" s="123">
        <f t="shared" si="36"/>
        <v>0</v>
      </c>
      <c r="AD29" s="104">
        <f t="shared" si="36"/>
        <v>0</v>
      </c>
      <c r="AE29" s="104">
        <f t="shared" si="36"/>
        <v>0</v>
      </c>
      <c r="AF29" s="104">
        <f t="shared" si="36"/>
        <v>0</v>
      </c>
      <c r="AG29" s="104">
        <f t="shared" si="36"/>
        <v>0</v>
      </c>
      <c r="AH29" s="123">
        <f t="shared" si="36"/>
        <v>0</v>
      </c>
      <c r="AI29" s="117">
        <v>0</v>
      </c>
      <c r="AJ29" s="123">
        <f t="shared" ref="AJ29:AR29" si="37">SUM(AJ30:AJ31)</f>
        <v>0</v>
      </c>
      <c r="AK29" s="123">
        <f t="shared" si="37"/>
        <v>0</v>
      </c>
      <c r="AL29" s="123">
        <f t="shared" si="37"/>
        <v>0</v>
      </c>
      <c r="AM29" s="104">
        <f t="shared" si="37"/>
        <v>0</v>
      </c>
      <c r="AN29" s="123">
        <f t="shared" si="37"/>
        <v>0</v>
      </c>
      <c r="AO29" s="123">
        <f t="shared" si="37"/>
        <v>0</v>
      </c>
      <c r="AP29" s="104">
        <f t="shared" si="37"/>
        <v>0</v>
      </c>
      <c r="AQ29" s="123">
        <f t="shared" si="37"/>
        <v>0</v>
      </c>
      <c r="AR29" s="123">
        <f t="shared" si="37"/>
        <v>0</v>
      </c>
      <c r="AS29" s="324"/>
      <c r="AT29" s="409" t="s">
        <v>411</v>
      </c>
      <c r="AU29" s="121"/>
      <c r="AV29" s="121"/>
      <c r="AW29" s="155"/>
    </row>
    <row r="30" spans="1:49" s="31" customFormat="1" ht="36">
      <c r="A30" s="316"/>
      <c r="B30" s="319"/>
      <c r="C30" s="322"/>
      <c r="D30" s="328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25"/>
      <c r="AT30" s="410"/>
      <c r="AU30" s="121"/>
      <c r="AV30" s="121"/>
      <c r="AW30" s="155"/>
    </row>
    <row r="31" spans="1:49" s="31" customFormat="1" ht="49.5" customHeight="1">
      <c r="A31" s="316"/>
      <c r="B31" s="319"/>
      <c r="C31" s="322"/>
      <c r="D31" s="328"/>
      <c r="E31" s="108" t="s">
        <v>44</v>
      </c>
      <c r="F31" s="123">
        <f t="shared" ref="F31:G31" si="38">I31+L31+O31+R31+U31+X31+AA31+AD31+AG31+AJ31+AM31+AP31</f>
        <v>150</v>
      </c>
      <c r="G31" s="123">
        <f t="shared" si="38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25"/>
      <c r="AT31" s="411"/>
      <c r="AU31" s="121"/>
      <c r="AV31" s="121"/>
      <c r="AW31" s="155"/>
    </row>
    <row r="32" spans="1:49" s="31" customFormat="1" ht="15.75">
      <c r="A32" s="297" t="s">
        <v>344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9"/>
    </row>
    <row r="33" spans="1:49" s="100" customFormat="1" ht="12.75">
      <c r="A33" s="338" t="s">
        <v>345</v>
      </c>
      <c r="B33" s="339"/>
      <c r="C33" s="339"/>
      <c r="D33" s="340"/>
      <c r="E33" s="129" t="s">
        <v>42</v>
      </c>
      <c r="F33" s="106">
        <f>F34+F35+F36</f>
        <v>33940.800000000003</v>
      </c>
      <c r="G33" s="106">
        <f t="shared" ref="G33:AR33" si="39">G34+G35+G36</f>
        <v>5142.1000000000004</v>
      </c>
      <c r="H33" s="106">
        <f>G33/F33*100</f>
        <v>15.150202705887899</v>
      </c>
      <c r="I33" s="106">
        <f t="shared" si="39"/>
        <v>556</v>
      </c>
      <c r="J33" s="106">
        <f t="shared" si="39"/>
        <v>556</v>
      </c>
      <c r="K33" s="106">
        <f>J33/I33*100</f>
        <v>100</v>
      </c>
      <c r="L33" s="106">
        <f t="shared" si="39"/>
        <v>2428</v>
      </c>
      <c r="M33" s="106">
        <f t="shared" si="39"/>
        <v>2369.3000000000002</v>
      </c>
      <c r="N33" s="106">
        <f>M33/L33*100</f>
        <v>97.582372322899516</v>
      </c>
      <c r="O33" s="106">
        <f t="shared" si="39"/>
        <v>2242</v>
      </c>
      <c r="P33" s="106">
        <f t="shared" si="39"/>
        <v>2216.8000000000002</v>
      </c>
      <c r="Q33" s="106">
        <f>P33/O33*100</f>
        <v>98.876003568242652</v>
      </c>
      <c r="R33" s="106">
        <f t="shared" si="39"/>
        <v>3060</v>
      </c>
      <c r="S33" s="106">
        <f t="shared" si="39"/>
        <v>0</v>
      </c>
      <c r="T33" s="106">
        <f>S33/R33*100</f>
        <v>0</v>
      </c>
      <c r="U33" s="106">
        <f t="shared" si="39"/>
        <v>2489</v>
      </c>
      <c r="V33" s="106">
        <f t="shared" si="39"/>
        <v>0</v>
      </c>
      <c r="W33" s="106">
        <f t="shared" si="39"/>
        <v>0</v>
      </c>
      <c r="X33" s="106">
        <f t="shared" si="39"/>
        <v>2628</v>
      </c>
      <c r="Y33" s="106">
        <f t="shared" si="39"/>
        <v>0</v>
      </c>
      <c r="Z33" s="106">
        <f t="shared" si="39"/>
        <v>0</v>
      </c>
      <c r="AA33" s="106">
        <f t="shared" si="39"/>
        <v>3576</v>
      </c>
      <c r="AB33" s="106">
        <f t="shared" si="39"/>
        <v>0</v>
      </c>
      <c r="AC33" s="106">
        <f t="shared" si="39"/>
        <v>0</v>
      </c>
      <c r="AD33" s="106">
        <f t="shared" si="39"/>
        <v>2569</v>
      </c>
      <c r="AE33" s="106">
        <f t="shared" si="39"/>
        <v>0</v>
      </c>
      <c r="AF33" s="106">
        <f t="shared" ref="AF33:AF35" si="40">AE33/AD33*100</f>
        <v>0</v>
      </c>
      <c r="AG33" s="106">
        <f t="shared" si="39"/>
        <v>2544</v>
      </c>
      <c r="AH33" s="106">
        <f t="shared" si="39"/>
        <v>0</v>
      </c>
      <c r="AI33" s="106">
        <f t="shared" si="39"/>
        <v>0</v>
      </c>
      <c r="AJ33" s="106">
        <f t="shared" si="39"/>
        <v>2984</v>
      </c>
      <c r="AK33" s="106">
        <f t="shared" si="39"/>
        <v>0</v>
      </c>
      <c r="AL33" s="106">
        <f t="shared" si="39"/>
        <v>0</v>
      </c>
      <c r="AM33" s="106">
        <f t="shared" si="39"/>
        <v>2265.6</v>
      </c>
      <c r="AN33" s="106">
        <f t="shared" si="39"/>
        <v>0</v>
      </c>
      <c r="AO33" s="106">
        <f t="shared" si="39"/>
        <v>0</v>
      </c>
      <c r="AP33" s="106">
        <f t="shared" si="39"/>
        <v>6599.2</v>
      </c>
      <c r="AQ33" s="106">
        <f t="shared" si="39"/>
        <v>0</v>
      </c>
      <c r="AR33" s="106">
        <f t="shared" si="39"/>
        <v>0</v>
      </c>
      <c r="AS33" s="347"/>
      <c r="AT33" s="350"/>
      <c r="AU33" s="121"/>
      <c r="AV33" s="121"/>
      <c r="AW33" s="155"/>
    </row>
    <row r="34" spans="1:49" s="100" customFormat="1" ht="36">
      <c r="A34" s="341"/>
      <c r="B34" s="342"/>
      <c r="C34" s="342"/>
      <c r="D34" s="343"/>
      <c r="E34" s="111" t="s">
        <v>3</v>
      </c>
      <c r="F34" s="106">
        <f>F43</f>
        <v>30600.9</v>
      </c>
      <c r="G34" s="106">
        <f t="shared" ref="G34:AR36" si="41">G43</f>
        <v>4083.1000000000004</v>
      </c>
      <c r="H34" s="106">
        <f>G34/F34*100</f>
        <v>13.343071609004964</v>
      </c>
      <c r="I34" s="106">
        <f t="shared" si="41"/>
        <v>0</v>
      </c>
      <c r="J34" s="106">
        <f t="shared" si="41"/>
        <v>0</v>
      </c>
      <c r="K34" s="106" t="e">
        <f t="shared" ref="K34:K35" si="42">J34/I34*100</f>
        <v>#DIV/0!</v>
      </c>
      <c r="L34" s="106">
        <f t="shared" si="41"/>
        <v>2178</v>
      </c>
      <c r="M34" s="106">
        <f t="shared" si="41"/>
        <v>2119.3000000000002</v>
      </c>
      <c r="N34" s="106">
        <f t="shared" ref="N34:N35" si="43">M34/L34*100</f>
        <v>97.304866850321403</v>
      </c>
      <c r="O34" s="106">
        <f t="shared" si="41"/>
        <v>1989</v>
      </c>
      <c r="P34" s="106">
        <f t="shared" si="41"/>
        <v>1963.8</v>
      </c>
      <c r="Q34" s="106">
        <f t="shared" ref="Q34:Q35" si="44">P34/O34*100</f>
        <v>98.733031674208135</v>
      </c>
      <c r="R34" s="106">
        <f t="shared" si="41"/>
        <v>3010</v>
      </c>
      <c r="S34" s="106">
        <f t="shared" si="41"/>
        <v>0</v>
      </c>
      <c r="T34" s="106">
        <f t="shared" ref="T34:T35" si="45">S34/R34*100</f>
        <v>0</v>
      </c>
      <c r="U34" s="106">
        <f t="shared" si="41"/>
        <v>2037</v>
      </c>
      <c r="V34" s="106">
        <f t="shared" si="41"/>
        <v>0</v>
      </c>
      <c r="W34" s="106">
        <f t="shared" si="41"/>
        <v>0</v>
      </c>
      <c r="X34" s="106">
        <f t="shared" si="41"/>
        <v>2578</v>
      </c>
      <c r="Y34" s="106">
        <f t="shared" si="41"/>
        <v>0</v>
      </c>
      <c r="Z34" s="106">
        <f t="shared" si="41"/>
        <v>0</v>
      </c>
      <c r="AA34" s="106">
        <f t="shared" si="41"/>
        <v>3526</v>
      </c>
      <c r="AB34" s="106">
        <f t="shared" si="41"/>
        <v>0</v>
      </c>
      <c r="AC34" s="106">
        <f t="shared" si="41"/>
        <v>0</v>
      </c>
      <c r="AD34" s="106">
        <f t="shared" si="41"/>
        <v>2117</v>
      </c>
      <c r="AE34" s="106">
        <f t="shared" si="41"/>
        <v>0</v>
      </c>
      <c r="AF34" s="106">
        <f t="shared" si="40"/>
        <v>0</v>
      </c>
      <c r="AG34" s="106">
        <f t="shared" si="41"/>
        <v>2494</v>
      </c>
      <c r="AH34" s="106">
        <f t="shared" si="41"/>
        <v>0</v>
      </c>
      <c r="AI34" s="106">
        <f t="shared" si="41"/>
        <v>0</v>
      </c>
      <c r="AJ34" s="106">
        <f t="shared" si="41"/>
        <v>2934</v>
      </c>
      <c r="AK34" s="106">
        <f t="shared" si="41"/>
        <v>0</v>
      </c>
      <c r="AL34" s="106">
        <f t="shared" si="41"/>
        <v>0</v>
      </c>
      <c r="AM34" s="106">
        <f t="shared" si="41"/>
        <v>1812</v>
      </c>
      <c r="AN34" s="106">
        <f t="shared" si="41"/>
        <v>0</v>
      </c>
      <c r="AO34" s="106">
        <f t="shared" si="41"/>
        <v>0</v>
      </c>
      <c r="AP34" s="106">
        <f t="shared" si="41"/>
        <v>5925.9</v>
      </c>
      <c r="AQ34" s="106">
        <f t="shared" si="41"/>
        <v>0</v>
      </c>
      <c r="AR34" s="106">
        <f t="shared" si="41"/>
        <v>0</v>
      </c>
      <c r="AS34" s="348"/>
      <c r="AT34" s="351"/>
      <c r="AU34" s="121"/>
      <c r="AV34" s="121"/>
      <c r="AW34" s="155"/>
    </row>
    <row r="35" spans="1:49" s="100" customFormat="1" ht="24">
      <c r="A35" s="341"/>
      <c r="B35" s="342"/>
      <c r="C35" s="342"/>
      <c r="D35" s="343"/>
      <c r="E35" s="111" t="s">
        <v>44</v>
      </c>
      <c r="F35" s="106">
        <f>F44</f>
        <v>3339.8999999999996</v>
      </c>
      <c r="G35" s="106">
        <f t="shared" si="41"/>
        <v>1059</v>
      </c>
      <c r="H35" s="106">
        <f>G35/F35*100</f>
        <v>31.70753615377706</v>
      </c>
      <c r="I35" s="106">
        <f t="shared" si="41"/>
        <v>556</v>
      </c>
      <c r="J35" s="106">
        <f t="shared" si="41"/>
        <v>556</v>
      </c>
      <c r="K35" s="106">
        <f t="shared" si="42"/>
        <v>100</v>
      </c>
      <c r="L35" s="106">
        <f t="shared" si="41"/>
        <v>250</v>
      </c>
      <c r="M35" s="106">
        <f t="shared" si="41"/>
        <v>250</v>
      </c>
      <c r="N35" s="106">
        <f t="shared" si="43"/>
        <v>100</v>
      </c>
      <c r="O35" s="106">
        <f t="shared" si="41"/>
        <v>253</v>
      </c>
      <c r="P35" s="106">
        <f t="shared" si="41"/>
        <v>253</v>
      </c>
      <c r="Q35" s="106">
        <f t="shared" si="44"/>
        <v>100</v>
      </c>
      <c r="R35" s="106">
        <f t="shared" si="41"/>
        <v>50</v>
      </c>
      <c r="S35" s="106">
        <f t="shared" si="41"/>
        <v>0</v>
      </c>
      <c r="T35" s="106">
        <f t="shared" si="45"/>
        <v>0</v>
      </c>
      <c r="U35" s="106">
        <f t="shared" si="41"/>
        <v>452</v>
      </c>
      <c r="V35" s="106">
        <f t="shared" si="41"/>
        <v>0</v>
      </c>
      <c r="W35" s="106">
        <f t="shared" si="41"/>
        <v>0</v>
      </c>
      <c r="X35" s="106">
        <f t="shared" si="41"/>
        <v>50</v>
      </c>
      <c r="Y35" s="106">
        <f t="shared" si="41"/>
        <v>0</v>
      </c>
      <c r="Z35" s="106">
        <f t="shared" si="41"/>
        <v>0</v>
      </c>
      <c r="AA35" s="106">
        <f t="shared" si="41"/>
        <v>50</v>
      </c>
      <c r="AB35" s="106">
        <f t="shared" si="41"/>
        <v>0</v>
      </c>
      <c r="AC35" s="106">
        <f t="shared" si="41"/>
        <v>0</v>
      </c>
      <c r="AD35" s="106">
        <f t="shared" si="41"/>
        <v>452</v>
      </c>
      <c r="AE35" s="106">
        <f t="shared" si="41"/>
        <v>0</v>
      </c>
      <c r="AF35" s="106">
        <f t="shared" si="40"/>
        <v>0</v>
      </c>
      <c r="AG35" s="106">
        <f t="shared" si="41"/>
        <v>50</v>
      </c>
      <c r="AH35" s="106">
        <f t="shared" si="41"/>
        <v>0</v>
      </c>
      <c r="AI35" s="106">
        <f t="shared" si="41"/>
        <v>0</v>
      </c>
      <c r="AJ35" s="106">
        <f t="shared" si="41"/>
        <v>50</v>
      </c>
      <c r="AK35" s="106">
        <f t="shared" si="41"/>
        <v>0</v>
      </c>
      <c r="AL35" s="106">
        <f t="shared" si="41"/>
        <v>0</v>
      </c>
      <c r="AM35" s="106">
        <f t="shared" si="41"/>
        <v>453.6</v>
      </c>
      <c r="AN35" s="106">
        <f t="shared" si="41"/>
        <v>0</v>
      </c>
      <c r="AO35" s="106">
        <f t="shared" si="41"/>
        <v>0</v>
      </c>
      <c r="AP35" s="106">
        <f t="shared" si="41"/>
        <v>673.3</v>
      </c>
      <c r="AQ35" s="106">
        <f t="shared" si="41"/>
        <v>0</v>
      </c>
      <c r="AR35" s="106">
        <f t="shared" si="41"/>
        <v>0</v>
      </c>
      <c r="AS35" s="348"/>
      <c r="AT35" s="351"/>
      <c r="AU35" s="121"/>
      <c r="AV35" s="121"/>
      <c r="AW35" s="155"/>
    </row>
    <row r="36" spans="1:49" s="100" customFormat="1" ht="24">
      <c r="A36" s="344"/>
      <c r="B36" s="345"/>
      <c r="C36" s="345"/>
      <c r="D36" s="346"/>
      <c r="E36" s="110" t="s">
        <v>257</v>
      </c>
      <c r="F36" s="106">
        <f>F45</f>
        <v>0</v>
      </c>
      <c r="G36" s="106">
        <f t="shared" si="41"/>
        <v>0</v>
      </c>
      <c r="H36" s="106">
        <v>0</v>
      </c>
      <c r="I36" s="106">
        <f t="shared" si="41"/>
        <v>0</v>
      </c>
      <c r="J36" s="106">
        <f t="shared" si="41"/>
        <v>0</v>
      </c>
      <c r="K36" s="106">
        <v>0</v>
      </c>
      <c r="L36" s="106">
        <f t="shared" si="41"/>
        <v>0</v>
      </c>
      <c r="M36" s="106">
        <f t="shared" si="41"/>
        <v>0</v>
      </c>
      <c r="N36" s="106">
        <v>0</v>
      </c>
      <c r="O36" s="106">
        <f t="shared" si="41"/>
        <v>0</v>
      </c>
      <c r="P36" s="106">
        <f t="shared" si="41"/>
        <v>0</v>
      </c>
      <c r="Q36" s="106">
        <f t="shared" si="41"/>
        <v>0</v>
      </c>
      <c r="R36" s="106">
        <f t="shared" si="41"/>
        <v>0</v>
      </c>
      <c r="S36" s="106">
        <f t="shared" si="41"/>
        <v>0</v>
      </c>
      <c r="T36" s="106">
        <v>0</v>
      </c>
      <c r="U36" s="106">
        <f t="shared" si="41"/>
        <v>0</v>
      </c>
      <c r="V36" s="106">
        <f t="shared" si="41"/>
        <v>0</v>
      </c>
      <c r="W36" s="106">
        <f t="shared" si="41"/>
        <v>0</v>
      </c>
      <c r="X36" s="106">
        <f t="shared" si="41"/>
        <v>0</v>
      </c>
      <c r="Y36" s="106">
        <f t="shared" si="41"/>
        <v>0</v>
      </c>
      <c r="Z36" s="106">
        <f t="shared" si="41"/>
        <v>0</v>
      </c>
      <c r="AA36" s="106">
        <f t="shared" si="41"/>
        <v>0</v>
      </c>
      <c r="AB36" s="106">
        <f t="shared" si="41"/>
        <v>0</v>
      </c>
      <c r="AC36" s="106">
        <f t="shared" si="41"/>
        <v>0</v>
      </c>
      <c r="AD36" s="106">
        <f t="shared" si="41"/>
        <v>0</v>
      </c>
      <c r="AE36" s="106">
        <f t="shared" si="41"/>
        <v>0</v>
      </c>
      <c r="AF36" s="106">
        <f t="shared" si="41"/>
        <v>0</v>
      </c>
      <c r="AG36" s="106">
        <f t="shared" si="41"/>
        <v>0</v>
      </c>
      <c r="AH36" s="106">
        <f t="shared" si="41"/>
        <v>0</v>
      </c>
      <c r="AI36" s="106">
        <f t="shared" si="41"/>
        <v>0</v>
      </c>
      <c r="AJ36" s="106">
        <f t="shared" si="41"/>
        <v>0</v>
      </c>
      <c r="AK36" s="106">
        <f t="shared" si="41"/>
        <v>0</v>
      </c>
      <c r="AL36" s="106">
        <f t="shared" si="41"/>
        <v>0</v>
      </c>
      <c r="AM36" s="106">
        <f t="shared" si="41"/>
        <v>0</v>
      </c>
      <c r="AN36" s="106">
        <f t="shared" si="41"/>
        <v>0</v>
      </c>
      <c r="AO36" s="106">
        <f t="shared" si="41"/>
        <v>0</v>
      </c>
      <c r="AP36" s="106">
        <f t="shared" si="41"/>
        <v>0</v>
      </c>
      <c r="AQ36" s="106">
        <f t="shared" si="41"/>
        <v>0</v>
      </c>
      <c r="AR36" s="106">
        <f t="shared" si="41"/>
        <v>0</v>
      </c>
      <c r="AS36" s="349"/>
      <c r="AT36" s="352"/>
      <c r="AU36" s="121"/>
      <c r="AV36" s="121"/>
      <c r="AW36" s="155"/>
    </row>
    <row r="37" spans="1:49" s="100" customFormat="1" ht="190.5" customHeight="1">
      <c r="A37" s="191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413</v>
      </c>
      <c r="AT37" s="134"/>
      <c r="AU37" s="121"/>
      <c r="AV37" s="121"/>
      <c r="AW37" s="155"/>
    </row>
    <row r="38" spans="1:49" s="100" customFormat="1" ht="108">
      <c r="A38" s="185" t="s">
        <v>351</v>
      </c>
      <c r="B38" s="19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414</v>
      </c>
      <c r="AT38" s="134"/>
      <c r="AU38" s="121"/>
      <c r="AV38" s="121"/>
      <c r="AW38" s="155"/>
    </row>
    <row r="39" spans="1:49" s="100" customFormat="1" ht="129.75" customHeight="1">
      <c r="A39" s="191" t="s">
        <v>355</v>
      </c>
      <c r="B39" s="19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209" t="s">
        <v>415</v>
      </c>
      <c r="AT39" s="134"/>
      <c r="AU39" s="121"/>
      <c r="AV39" s="121"/>
      <c r="AW39" s="155"/>
    </row>
    <row r="40" spans="1:49" s="100" customFormat="1" ht="217.5" customHeight="1">
      <c r="A40" s="191" t="s">
        <v>359</v>
      </c>
      <c r="B40" s="19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416</v>
      </c>
      <c r="AT40" s="134"/>
      <c r="AU40" s="121"/>
      <c r="AV40" s="121"/>
      <c r="AW40" s="155"/>
    </row>
    <row r="41" spans="1:49" s="100" customFormat="1" ht="54" customHeight="1">
      <c r="A41" s="191" t="s">
        <v>361</v>
      </c>
      <c r="B41" s="19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417</v>
      </c>
      <c r="AT41" s="134"/>
      <c r="AU41" s="121"/>
      <c r="AV41" s="121"/>
      <c r="AW41" s="155"/>
    </row>
    <row r="42" spans="1:49" s="31" customFormat="1" ht="12.75">
      <c r="A42" s="353" t="s">
        <v>365</v>
      </c>
      <c r="B42" s="356" t="s">
        <v>366</v>
      </c>
      <c r="C42" s="359" t="s">
        <v>269</v>
      </c>
      <c r="D42" s="327" t="s">
        <v>367</v>
      </c>
      <c r="E42" s="107" t="s">
        <v>42</v>
      </c>
      <c r="F42" s="123">
        <f>SUM(F43:F45)</f>
        <v>33940.800000000003</v>
      </c>
      <c r="G42" s="123">
        <f t="shared" ref="G42" si="46">SUM(G43:G45)</f>
        <v>5142.1000000000004</v>
      </c>
      <c r="H42" s="123">
        <f>G42/F42*100</f>
        <v>15.150202705887899</v>
      </c>
      <c r="I42" s="132">
        <f>I43+I44+I45</f>
        <v>556</v>
      </c>
      <c r="J42" s="132">
        <f>J43+J44+J45</f>
        <v>556</v>
      </c>
      <c r="K42" s="123">
        <f t="shared" ref="K42:K44" si="47">J42/I42*100</f>
        <v>100</v>
      </c>
      <c r="L42" s="132">
        <f>L43+L44+L45</f>
        <v>2428</v>
      </c>
      <c r="M42" s="132">
        <f>M43+M44+M45</f>
        <v>2369.3000000000002</v>
      </c>
      <c r="N42" s="132">
        <f>M42/L42*100</f>
        <v>97.582372322899516</v>
      </c>
      <c r="O42" s="132">
        <f>O43+O44+O45</f>
        <v>2242</v>
      </c>
      <c r="P42" s="132">
        <f>P43+P44+P45</f>
        <v>2216.8000000000002</v>
      </c>
      <c r="Q42" s="123">
        <f t="shared" ref="Q42:Q44" si="48">P42/O42*100</f>
        <v>98.876003568242652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9">U43+U44+U45</f>
        <v>2489</v>
      </c>
      <c r="V42" s="132">
        <f t="shared" si="49"/>
        <v>0</v>
      </c>
      <c r="W42" s="132">
        <f>V42/U42*100</f>
        <v>0</v>
      </c>
      <c r="X42" s="132">
        <f t="shared" si="49"/>
        <v>2628</v>
      </c>
      <c r="Y42" s="132">
        <f t="shared" si="49"/>
        <v>0</v>
      </c>
      <c r="Z42" s="132">
        <f>Y42/X42*100</f>
        <v>0</v>
      </c>
      <c r="AA42" s="132">
        <f t="shared" si="49"/>
        <v>3576</v>
      </c>
      <c r="AB42" s="132">
        <f t="shared" si="49"/>
        <v>0</v>
      </c>
      <c r="AC42" s="132">
        <f>AB42/AA42*100</f>
        <v>0</v>
      </c>
      <c r="AD42" s="132">
        <f t="shared" si="49"/>
        <v>2569</v>
      </c>
      <c r="AE42" s="132">
        <f t="shared" si="49"/>
        <v>0</v>
      </c>
      <c r="AF42" s="132">
        <f>AE42/AD42*100</f>
        <v>0</v>
      </c>
      <c r="AG42" s="132">
        <f t="shared" si="49"/>
        <v>2544</v>
      </c>
      <c r="AH42" s="132">
        <f t="shared" si="49"/>
        <v>0</v>
      </c>
      <c r="AI42" s="117">
        <f>AH42/AG42*100</f>
        <v>0</v>
      </c>
      <c r="AJ42" s="132">
        <f t="shared" si="49"/>
        <v>2984</v>
      </c>
      <c r="AK42" s="132">
        <f t="shared" si="49"/>
        <v>0</v>
      </c>
      <c r="AL42" s="132">
        <f t="shared" si="49"/>
        <v>0</v>
      </c>
      <c r="AM42" s="132">
        <f t="shared" si="49"/>
        <v>2265.6</v>
      </c>
      <c r="AN42" s="132">
        <f t="shared" si="49"/>
        <v>0</v>
      </c>
      <c r="AO42" s="132">
        <f t="shared" si="49"/>
        <v>0</v>
      </c>
      <c r="AP42" s="132">
        <f t="shared" si="49"/>
        <v>6599.2</v>
      </c>
      <c r="AQ42" s="104"/>
      <c r="AR42" s="104"/>
      <c r="AS42" s="324" t="s">
        <v>418</v>
      </c>
      <c r="AT42" s="415" t="s">
        <v>412</v>
      </c>
      <c r="AU42" s="121"/>
      <c r="AV42" s="121"/>
      <c r="AW42" s="155"/>
    </row>
    <row r="43" spans="1:49" s="31" customFormat="1" ht="36">
      <c r="A43" s="354"/>
      <c r="B43" s="357"/>
      <c r="C43" s="360"/>
      <c r="D43" s="328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4083.1000000000004</v>
      </c>
      <c r="H43" s="123">
        <f>G43/F43*100</f>
        <v>13.343071609004964</v>
      </c>
      <c r="I43" s="123">
        <v>0</v>
      </c>
      <c r="J43" s="123">
        <v>0</v>
      </c>
      <c r="K43" s="123">
        <v>0</v>
      </c>
      <c r="L43" s="150">
        <v>2178</v>
      </c>
      <c r="M43" s="123">
        <v>2119.3000000000002</v>
      </c>
      <c r="N43" s="138">
        <f t="shared" ref="N43:N44" si="50">M43/L43*100</f>
        <v>97.304866850321403</v>
      </c>
      <c r="O43" s="123">
        <v>1989</v>
      </c>
      <c r="P43" s="123">
        <v>1963.8</v>
      </c>
      <c r="Q43" s="123">
        <f t="shared" si="48"/>
        <v>98.733031674208135</v>
      </c>
      <c r="R43" s="123">
        <v>3010</v>
      </c>
      <c r="S43" s="123">
        <v>0</v>
      </c>
      <c r="T43" s="132">
        <f t="shared" ref="T43:T44" si="51">S43/R43*100</f>
        <v>0</v>
      </c>
      <c r="U43" s="117">
        <v>2037</v>
      </c>
      <c r="V43" s="117">
        <v>0</v>
      </c>
      <c r="W43" s="132">
        <f t="shared" ref="W43:W44" si="52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25"/>
      <c r="AT43" s="416"/>
      <c r="AU43" s="121"/>
      <c r="AV43" s="121"/>
      <c r="AW43" s="155"/>
    </row>
    <row r="44" spans="1:49" s="31" customFormat="1" ht="33.75" customHeight="1">
      <c r="A44" s="354"/>
      <c r="B44" s="357"/>
      <c r="C44" s="360"/>
      <c r="D44" s="328"/>
      <c r="E44" s="108" t="s">
        <v>44</v>
      </c>
      <c r="F44" s="123">
        <f t="shared" ref="F44:G45" si="53">I44+L44+O44+R44+U44+X44+AA44+AD44+AG44+AJ44+AM44+AP44</f>
        <v>3339.8999999999996</v>
      </c>
      <c r="G44" s="123">
        <f t="shared" si="53"/>
        <v>1059</v>
      </c>
      <c r="H44" s="123">
        <f>G44/F44*100</f>
        <v>31.70753615377706</v>
      </c>
      <c r="I44" s="123">
        <v>556</v>
      </c>
      <c r="J44" s="123">
        <v>556</v>
      </c>
      <c r="K44" s="123">
        <f t="shared" si="47"/>
        <v>100</v>
      </c>
      <c r="L44" s="150">
        <v>250</v>
      </c>
      <c r="M44" s="123">
        <v>250</v>
      </c>
      <c r="N44" s="138">
        <f t="shared" si="50"/>
        <v>100</v>
      </c>
      <c r="O44" s="123">
        <v>253</v>
      </c>
      <c r="P44" s="123">
        <v>253</v>
      </c>
      <c r="Q44" s="123">
        <f t="shared" si="48"/>
        <v>100</v>
      </c>
      <c r="R44" s="123">
        <v>50</v>
      </c>
      <c r="S44" s="123">
        <v>0</v>
      </c>
      <c r="T44" s="132">
        <f t="shared" si="51"/>
        <v>0</v>
      </c>
      <c r="U44" s="117">
        <v>452</v>
      </c>
      <c r="V44" s="117">
        <v>0</v>
      </c>
      <c r="W44" s="132">
        <f t="shared" si="52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25"/>
      <c r="AT44" s="416"/>
      <c r="AU44" s="121"/>
      <c r="AV44" s="121"/>
      <c r="AW44" s="155"/>
    </row>
    <row r="45" spans="1:49" s="31" customFormat="1" ht="63" customHeight="1">
      <c r="A45" s="355"/>
      <c r="B45" s="358"/>
      <c r="C45" s="361"/>
      <c r="D45" s="334"/>
      <c r="E45" s="109" t="s">
        <v>257</v>
      </c>
      <c r="F45" s="123">
        <f t="shared" si="53"/>
        <v>0</v>
      </c>
      <c r="G45" s="123">
        <f t="shared" si="53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26"/>
      <c r="AT45" s="417"/>
      <c r="AU45" s="121"/>
      <c r="AV45" s="121"/>
      <c r="AW45" s="155"/>
    </row>
    <row r="46" spans="1:49" s="31" customFormat="1" ht="15.75">
      <c r="A46" s="418" t="s">
        <v>368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20"/>
      <c r="AU46" s="121"/>
      <c r="AV46" s="121"/>
      <c r="AW46" s="155"/>
    </row>
    <row r="47" spans="1:49" s="31" customFormat="1" ht="15.75">
      <c r="A47" s="418" t="s">
        <v>369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  <c r="AN47" s="419"/>
      <c r="AO47" s="419"/>
      <c r="AP47" s="419"/>
      <c r="AQ47" s="419"/>
      <c r="AR47" s="419"/>
      <c r="AS47" s="419"/>
      <c r="AT47" s="420"/>
      <c r="AU47" s="121"/>
      <c r="AV47" s="121"/>
      <c r="AW47" s="155"/>
    </row>
    <row r="48" spans="1:49" s="100" customFormat="1" ht="12.75">
      <c r="A48" s="338" t="s">
        <v>270</v>
      </c>
      <c r="B48" s="339"/>
      <c r="C48" s="339"/>
      <c r="D48" s="340"/>
      <c r="E48" s="129" t="s">
        <v>42</v>
      </c>
      <c r="F48" s="106">
        <f>F49+F50+F51</f>
        <v>599.4</v>
      </c>
      <c r="G48" s="106">
        <f t="shared" ref="G48:AR48" si="54">G49+G50+G51</f>
        <v>0</v>
      </c>
      <c r="H48" s="106">
        <f>G48/F48*100</f>
        <v>0</v>
      </c>
      <c r="I48" s="106">
        <f t="shared" si="54"/>
        <v>0</v>
      </c>
      <c r="J48" s="106">
        <f t="shared" si="54"/>
        <v>0</v>
      </c>
      <c r="K48" s="106">
        <v>0</v>
      </c>
      <c r="L48" s="106">
        <f t="shared" si="54"/>
        <v>0</v>
      </c>
      <c r="M48" s="106">
        <f t="shared" si="54"/>
        <v>0</v>
      </c>
      <c r="N48" s="106">
        <v>0</v>
      </c>
      <c r="O48" s="106">
        <f t="shared" si="54"/>
        <v>0</v>
      </c>
      <c r="P48" s="106">
        <f t="shared" si="54"/>
        <v>0</v>
      </c>
      <c r="Q48" s="106" t="e">
        <f>P48/O48*100</f>
        <v>#DIV/0!</v>
      </c>
      <c r="R48" s="106">
        <f t="shared" si="54"/>
        <v>119.8</v>
      </c>
      <c r="S48" s="106">
        <f t="shared" si="54"/>
        <v>0</v>
      </c>
      <c r="T48" s="106">
        <v>0</v>
      </c>
      <c r="U48" s="106">
        <f t="shared" si="54"/>
        <v>0</v>
      </c>
      <c r="V48" s="106">
        <f t="shared" si="54"/>
        <v>0</v>
      </c>
      <c r="W48" s="106">
        <f t="shared" si="54"/>
        <v>0</v>
      </c>
      <c r="X48" s="106">
        <f t="shared" si="54"/>
        <v>179.7</v>
      </c>
      <c r="Y48" s="106">
        <f t="shared" si="54"/>
        <v>0</v>
      </c>
      <c r="Z48" s="106">
        <f t="shared" si="54"/>
        <v>0</v>
      </c>
      <c r="AA48" s="106">
        <f t="shared" si="54"/>
        <v>0</v>
      </c>
      <c r="AB48" s="106">
        <f t="shared" si="54"/>
        <v>0</v>
      </c>
      <c r="AC48" s="106">
        <f t="shared" si="54"/>
        <v>0</v>
      </c>
      <c r="AD48" s="106">
        <f t="shared" si="54"/>
        <v>0</v>
      </c>
      <c r="AE48" s="106">
        <f t="shared" si="54"/>
        <v>0</v>
      </c>
      <c r="AF48" s="106">
        <f t="shared" si="54"/>
        <v>0</v>
      </c>
      <c r="AG48" s="106">
        <f t="shared" si="54"/>
        <v>179.7</v>
      </c>
      <c r="AH48" s="106">
        <f t="shared" si="54"/>
        <v>0</v>
      </c>
      <c r="AI48" s="106">
        <f t="shared" si="54"/>
        <v>0</v>
      </c>
      <c r="AJ48" s="106">
        <f t="shared" si="54"/>
        <v>0</v>
      </c>
      <c r="AK48" s="106">
        <f t="shared" si="54"/>
        <v>0</v>
      </c>
      <c r="AL48" s="106">
        <f t="shared" si="54"/>
        <v>0</v>
      </c>
      <c r="AM48" s="106">
        <f t="shared" si="54"/>
        <v>120.2</v>
      </c>
      <c r="AN48" s="106">
        <f t="shared" si="54"/>
        <v>0</v>
      </c>
      <c r="AO48" s="106">
        <f t="shared" si="54"/>
        <v>0</v>
      </c>
      <c r="AP48" s="106">
        <f t="shared" si="54"/>
        <v>0</v>
      </c>
      <c r="AQ48" s="106">
        <f t="shared" si="54"/>
        <v>0</v>
      </c>
      <c r="AR48" s="106">
        <f t="shared" si="54"/>
        <v>0</v>
      </c>
      <c r="AS48" s="421"/>
      <c r="AT48" s="424"/>
      <c r="AU48" s="121"/>
      <c r="AV48" s="121"/>
      <c r="AW48" s="155"/>
    </row>
    <row r="49" spans="1:49" s="100" customFormat="1" ht="36">
      <c r="A49" s="341"/>
      <c r="B49" s="342"/>
      <c r="C49" s="342"/>
      <c r="D49" s="343"/>
      <c r="E49" s="111" t="s">
        <v>3</v>
      </c>
      <c r="F49" s="106">
        <f>F57</f>
        <v>0</v>
      </c>
      <c r="G49" s="106">
        <f t="shared" ref="G49:AR51" si="55">G57</f>
        <v>0</v>
      </c>
      <c r="H49" s="106">
        <v>0</v>
      </c>
      <c r="I49" s="106">
        <f t="shared" si="55"/>
        <v>0</v>
      </c>
      <c r="J49" s="106">
        <f t="shared" si="55"/>
        <v>0</v>
      </c>
      <c r="K49" s="106">
        <v>0</v>
      </c>
      <c r="L49" s="106">
        <f t="shared" si="55"/>
        <v>0</v>
      </c>
      <c r="M49" s="106">
        <f t="shared" si="55"/>
        <v>0</v>
      </c>
      <c r="N49" s="106">
        <v>0</v>
      </c>
      <c r="O49" s="106">
        <f t="shared" si="55"/>
        <v>0</v>
      </c>
      <c r="P49" s="106">
        <f t="shared" si="55"/>
        <v>0</v>
      </c>
      <c r="Q49" s="106">
        <v>0</v>
      </c>
      <c r="R49" s="106">
        <f t="shared" si="55"/>
        <v>0</v>
      </c>
      <c r="S49" s="106">
        <f t="shared" si="55"/>
        <v>0</v>
      </c>
      <c r="T49" s="106">
        <f t="shared" si="55"/>
        <v>0</v>
      </c>
      <c r="U49" s="106">
        <f t="shared" si="55"/>
        <v>0</v>
      </c>
      <c r="V49" s="106">
        <f t="shared" si="55"/>
        <v>0</v>
      </c>
      <c r="W49" s="106">
        <f t="shared" si="55"/>
        <v>0</v>
      </c>
      <c r="X49" s="106">
        <f t="shared" si="55"/>
        <v>0</v>
      </c>
      <c r="Y49" s="106">
        <f t="shared" si="55"/>
        <v>0</v>
      </c>
      <c r="Z49" s="106">
        <f t="shared" si="55"/>
        <v>0</v>
      </c>
      <c r="AA49" s="106">
        <f t="shared" si="55"/>
        <v>0</v>
      </c>
      <c r="AB49" s="106">
        <f t="shared" si="55"/>
        <v>0</v>
      </c>
      <c r="AC49" s="106">
        <f t="shared" si="55"/>
        <v>0</v>
      </c>
      <c r="AD49" s="106">
        <f t="shared" si="55"/>
        <v>0</v>
      </c>
      <c r="AE49" s="106">
        <f t="shared" si="55"/>
        <v>0</v>
      </c>
      <c r="AF49" s="106">
        <f t="shared" si="55"/>
        <v>0</v>
      </c>
      <c r="AG49" s="106">
        <f t="shared" si="55"/>
        <v>0</v>
      </c>
      <c r="AH49" s="106">
        <f t="shared" si="55"/>
        <v>0</v>
      </c>
      <c r="AI49" s="106">
        <f t="shared" si="55"/>
        <v>0</v>
      </c>
      <c r="AJ49" s="106">
        <f t="shared" si="55"/>
        <v>0</v>
      </c>
      <c r="AK49" s="106">
        <f t="shared" si="55"/>
        <v>0</v>
      </c>
      <c r="AL49" s="106">
        <f t="shared" si="55"/>
        <v>0</v>
      </c>
      <c r="AM49" s="106">
        <f t="shared" si="55"/>
        <v>0</v>
      </c>
      <c r="AN49" s="106">
        <f t="shared" si="55"/>
        <v>0</v>
      </c>
      <c r="AO49" s="106">
        <f t="shared" si="55"/>
        <v>0</v>
      </c>
      <c r="AP49" s="106">
        <f t="shared" si="55"/>
        <v>0</v>
      </c>
      <c r="AQ49" s="106">
        <f t="shared" si="55"/>
        <v>0</v>
      </c>
      <c r="AR49" s="106">
        <f t="shared" si="55"/>
        <v>0</v>
      </c>
      <c r="AS49" s="422"/>
      <c r="AT49" s="425"/>
      <c r="AU49" s="121"/>
      <c r="AV49" s="121"/>
      <c r="AW49" s="155"/>
    </row>
    <row r="50" spans="1:49" s="100" customFormat="1" ht="24">
      <c r="A50" s="341"/>
      <c r="B50" s="342"/>
      <c r="C50" s="342"/>
      <c r="D50" s="343"/>
      <c r="E50" s="111" t="s">
        <v>44</v>
      </c>
      <c r="F50" s="106">
        <f>F58</f>
        <v>599.4</v>
      </c>
      <c r="G50" s="106">
        <f t="shared" si="55"/>
        <v>0</v>
      </c>
      <c r="H50" s="106">
        <f>G50/F50*100</f>
        <v>0</v>
      </c>
      <c r="I50" s="106">
        <f t="shared" si="55"/>
        <v>0</v>
      </c>
      <c r="J50" s="106">
        <f t="shared" si="55"/>
        <v>0</v>
      </c>
      <c r="K50" s="106">
        <v>0</v>
      </c>
      <c r="L50" s="106">
        <f t="shared" si="55"/>
        <v>0</v>
      </c>
      <c r="M50" s="106">
        <f t="shared" si="55"/>
        <v>0</v>
      </c>
      <c r="N50" s="106">
        <v>0</v>
      </c>
      <c r="O50" s="106">
        <f t="shared" si="55"/>
        <v>0</v>
      </c>
      <c r="P50" s="106">
        <f t="shared" si="55"/>
        <v>0</v>
      </c>
      <c r="Q50" s="106" t="e">
        <f t="shared" ref="Q50" si="56">P50/O50*100</f>
        <v>#DIV/0!</v>
      </c>
      <c r="R50" s="106">
        <f t="shared" si="55"/>
        <v>119.8</v>
      </c>
      <c r="S50" s="106">
        <f t="shared" si="55"/>
        <v>0</v>
      </c>
      <c r="T50" s="106">
        <f t="shared" si="55"/>
        <v>0</v>
      </c>
      <c r="U50" s="106">
        <f t="shared" si="55"/>
        <v>0</v>
      </c>
      <c r="V50" s="106">
        <f t="shared" si="55"/>
        <v>0</v>
      </c>
      <c r="W50" s="106">
        <f t="shared" si="55"/>
        <v>0</v>
      </c>
      <c r="X50" s="106">
        <f t="shared" si="55"/>
        <v>179.7</v>
      </c>
      <c r="Y50" s="106">
        <f t="shared" si="55"/>
        <v>0</v>
      </c>
      <c r="Z50" s="106">
        <f t="shared" si="55"/>
        <v>0</v>
      </c>
      <c r="AA50" s="106">
        <f t="shared" si="55"/>
        <v>0</v>
      </c>
      <c r="AB50" s="106">
        <f t="shared" si="55"/>
        <v>0</v>
      </c>
      <c r="AC50" s="106">
        <f t="shared" si="55"/>
        <v>0</v>
      </c>
      <c r="AD50" s="106">
        <f t="shared" si="55"/>
        <v>0</v>
      </c>
      <c r="AE50" s="106">
        <f t="shared" si="55"/>
        <v>0</v>
      </c>
      <c r="AF50" s="106">
        <f t="shared" si="55"/>
        <v>0</v>
      </c>
      <c r="AG50" s="106">
        <f t="shared" si="55"/>
        <v>179.7</v>
      </c>
      <c r="AH50" s="106">
        <f t="shared" si="55"/>
        <v>0</v>
      </c>
      <c r="AI50" s="106">
        <f t="shared" si="55"/>
        <v>0</v>
      </c>
      <c r="AJ50" s="106">
        <f t="shared" si="55"/>
        <v>0</v>
      </c>
      <c r="AK50" s="106">
        <f t="shared" si="55"/>
        <v>0</v>
      </c>
      <c r="AL50" s="106">
        <f t="shared" si="55"/>
        <v>0</v>
      </c>
      <c r="AM50" s="106">
        <f t="shared" si="55"/>
        <v>120.2</v>
      </c>
      <c r="AN50" s="106">
        <f t="shared" si="55"/>
        <v>0</v>
      </c>
      <c r="AO50" s="106">
        <f t="shared" si="55"/>
        <v>0</v>
      </c>
      <c r="AP50" s="106">
        <f t="shared" si="55"/>
        <v>0</v>
      </c>
      <c r="AQ50" s="106">
        <f t="shared" si="55"/>
        <v>0</v>
      </c>
      <c r="AR50" s="106">
        <f t="shared" si="55"/>
        <v>0</v>
      </c>
      <c r="AS50" s="422"/>
      <c r="AT50" s="425"/>
      <c r="AU50" s="121"/>
      <c r="AV50" s="121"/>
      <c r="AW50" s="155"/>
    </row>
    <row r="51" spans="1:49" s="100" customFormat="1" ht="24">
      <c r="A51" s="344"/>
      <c r="B51" s="345"/>
      <c r="C51" s="345"/>
      <c r="D51" s="346"/>
      <c r="E51" s="110" t="s">
        <v>257</v>
      </c>
      <c r="F51" s="106">
        <f>F59</f>
        <v>0</v>
      </c>
      <c r="G51" s="106">
        <f t="shared" si="55"/>
        <v>0</v>
      </c>
      <c r="H51" s="106">
        <v>0</v>
      </c>
      <c r="I51" s="106">
        <f t="shared" si="55"/>
        <v>0</v>
      </c>
      <c r="J51" s="106">
        <f t="shared" si="55"/>
        <v>0</v>
      </c>
      <c r="K51" s="106">
        <f t="shared" si="55"/>
        <v>0</v>
      </c>
      <c r="L51" s="106">
        <f t="shared" si="55"/>
        <v>0</v>
      </c>
      <c r="M51" s="106">
        <f t="shared" si="55"/>
        <v>0</v>
      </c>
      <c r="N51" s="106">
        <v>0</v>
      </c>
      <c r="O51" s="106">
        <f t="shared" si="55"/>
        <v>0</v>
      </c>
      <c r="P51" s="106">
        <f t="shared" si="55"/>
        <v>0</v>
      </c>
      <c r="Q51" s="106">
        <f t="shared" si="55"/>
        <v>0</v>
      </c>
      <c r="R51" s="106">
        <f t="shared" si="55"/>
        <v>0</v>
      </c>
      <c r="S51" s="106">
        <f t="shared" si="55"/>
        <v>0</v>
      </c>
      <c r="T51" s="106">
        <f t="shared" si="55"/>
        <v>0</v>
      </c>
      <c r="U51" s="106">
        <f t="shared" si="55"/>
        <v>0</v>
      </c>
      <c r="V51" s="106">
        <f t="shared" si="55"/>
        <v>0</v>
      </c>
      <c r="W51" s="106">
        <f t="shared" si="55"/>
        <v>0</v>
      </c>
      <c r="X51" s="106">
        <f t="shared" si="55"/>
        <v>0</v>
      </c>
      <c r="Y51" s="106">
        <f t="shared" si="55"/>
        <v>0</v>
      </c>
      <c r="Z51" s="106">
        <f t="shared" si="55"/>
        <v>0</v>
      </c>
      <c r="AA51" s="106">
        <f t="shared" si="55"/>
        <v>0</v>
      </c>
      <c r="AB51" s="106">
        <f t="shared" si="55"/>
        <v>0</v>
      </c>
      <c r="AC51" s="106">
        <f t="shared" si="55"/>
        <v>0</v>
      </c>
      <c r="AD51" s="106">
        <f t="shared" si="55"/>
        <v>0</v>
      </c>
      <c r="AE51" s="106">
        <f t="shared" si="55"/>
        <v>0</v>
      </c>
      <c r="AF51" s="106">
        <f t="shared" si="55"/>
        <v>0</v>
      </c>
      <c r="AG51" s="106">
        <f t="shared" si="55"/>
        <v>0</v>
      </c>
      <c r="AH51" s="106">
        <f t="shared" si="55"/>
        <v>0</v>
      </c>
      <c r="AI51" s="106">
        <f t="shared" si="55"/>
        <v>0</v>
      </c>
      <c r="AJ51" s="106">
        <f t="shared" si="55"/>
        <v>0</v>
      </c>
      <c r="AK51" s="106">
        <f t="shared" si="55"/>
        <v>0</v>
      </c>
      <c r="AL51" s="106">
        <f t="shared" si="55"/>
        <v>0</v>
      </c>
      <c r="AM51" s="106">
        <f t="shared" si="55"/>
        <v>0</v>
      </c>
      <c r="AN51" s="106">
        <f t="shared" si="55"/>
        <v>0</v>
      </c>
      <c r="AO51" s="106">
        <f t="shared" si="55"/>
        <v>0</v>
      </c>
      <c r="AP51" s="106">
        <f t="shared" si="55"/>
        <v>0</v>
      </c>
      <c r="AQ51" s="106">
        <f t="shared" si="55"/>
        <v>0</v>
      </c>
      <c r="AR51" s="106">
        <f t="shared" si="55"/>
        <v>0</v>
      </c>
      <c r="AS51" s="423"/>
      <c r="AT51" s="426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431</v>
      </c>
      <c r="AT52" s="194"/>
      <c r="AU52" s="121"/>
      <c r="AV52" s="121"/>
      <c r="AW52" s="155"/>
    </row>
    <row r="53" spans="1:49" s="100" customFormat="1" ht="84">
      <c r="A53" s="191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11" t="s">
        <v>432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192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433</v>
      </c>
      <c r="AT54" s="134"/>
      <c r="AU54" s="121"/>
      <c r="AV54" s="121"/>
      <c r="AW54" s="155"/>
    </row>
    <row r="55" spans="1:49" s="100" customFormat="1" ht="48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434</v>
      </c>
      <c r="AT55" s="134"/>
      <c r="AU55" s="121"/>
      <c r="AV55" s="121"/>
      <c r="AW55" s="155"/>
    </row>
    <row r="56" spans="1:49" s="31" customFormat="1" ht="12.75">
      <c r="A56" s="315" t="s">
        <v>382</v>
      </c>
      <c r="B56" s="356" t="s">
        <v>259</v>
      </c>
      <c r="C56" s="400" t="s">
        <v>271</v>
      </c>
      <c r="D56" s="403" t="s">
        <v>383</v>
      </c>
      <c r="E56" s="107" t="s">
        <v>42</v>
      </c>
      <c r="F56" s="104">
        <f>SUM(F57:F59)</f>
        <v>599.4</v>
      </c>
      <c r="G56" s="104">
        <f t="shared" ref="G56" si="57">SUM(G57:G59)</f>
        <v>0</v>
      </c>
      <c r="H56" s="104">
        <f>G56/F56*100</f>
        <v>0</v>
      </c>
      <c r="I56" s="207">
        <f t="shared" ref="I56:AP56" si="58">I57+I58+I59</f>
        <v>0</v>
      </c>
      <c r="J56" s="207">
        <f t="shared" si="58"/>
        <v>0</v>
      </c>
      <c r="K56" s="104">
        <v>0</v>
      </c>
      <c r="L56" s="207">
        <f t="shared" si="58"/>
        <v>0</v>
      </c>
      <c r="M56" s="207">
        <f t="shared" si="58"/>
        <v>0</v>
      </c>
      <c r="N56" s="207">
        <v>0</v>
      </c>
      <c r="O56" s="207">
        <f t="shared" si="58"/>
        <v>0</v>
      </c>
      <c r="P56" s="207">
        <f t="shared" si="58"/>
        <v>0</v>
      </c>
      <c r="Q56" s="104" t="e">
        <f t="shared" ref="Q56:Q58" si="59">P56/O56*100</f>
        <v>#DIV/0!</v>
      </c>
      <c r="R56" s="207">
        <f t="shared" si="58"/>
        <v>119.8</v>
      </c>
      <c r="S56" s="207">
        <f t="shared" si="58"/>
        <v>0</v>
      </c>
      <c r="T56" s="207">
        <f t="shared" si="58"/>
        <v>0</v>
      </c>
      <c r="U56" s="207">
        <f t="shared" si="58"/>
        <v>0</v>
      </c>
      <c r="V56" s="207">
        <f t="shared" si="58"/>
        <v>0</v>
      </c>
      <c r="W56" s="104">
        <v>0</v>
      </c>
      <c r="X56" s="207">
        <f t="shared" si="58"/>
        <v>179.7</v>
      </c>
      <c r="Y56" s="207">
        <f t="shared" si="58"/>
        <v>0</v>
      </c>
      <c r="Z56" s="207">
        <f t="shared" si="58"/>
        <v>0</v>
      </c>
      <c r="AA56" s="207">
        <f t="shared" si="58"/>
        <v>0</v>
      </c>
      <c r="AB56" s="207">
        <f t="shared" si="58"/>
        <v>0</v>
      </c>
      <c r="AC56" s="207">
        <f t="shared" si="58"/>
        <v>0</v>
      </c>
      <c r="AD56" s="207">
        <f t="shared" si="58"/>
        <v>0</v>
      </c>
      <c r="AE56" s="207">
        <f t="shared" si="58"/>
        <v>0</v>
      </c>
      <c r="AF56" s="207">
        <f t="shared" si="58"/>
        <v>0</v>
      </c>
      <c r="AG56" s="207">
        <f t="shared" si="58"/>
        <v>179.7</v>
      </c>
      <c r="AH56" s="207">
        <f t="shared" si="58"/>
        <v>0</v>
      </c>
      <c r="AI56" s="105">
        <f>AH56/AG56*100</f>
        <v>0</v>
      </c>
      <c r="AJ56" s="207">
        <f t="shared" si="58"/>
        <v>0</v>
      </c>
      <c r="AK56" s="207">
        <f t="shared" si="58"/>
        <v>0</v>
      </c>
      <c r="AL56" s="207">
        <f t="shared" si="58"/>
        <v>0</v>
      </c>
      <c r="AM56" s="207">
        <f t="shared" si="58"/>
        <v>120.2</v>
      </c>
      <c r="AN56" s="207">
        <f t="shared" si="58"/>
        <v>0</v>
      </c>
      <c r="AO56" s="207">
        <f t="shared" si="58"/>
        <v>0</v>
      </c>
      <c r="AP56" s="207">
        <f t="shared" si="58"/>
        <v>0</v>
      </c>
      <c r="AQ56" s="104"/>
      <c r="AR56" s="104"/>
      <c r="AS56" s="369" t="s">
        <v>435</v>
      </c>
      <c r="AT56" s="388" t="s">
        <v>429</v>
      </c>
      <c r="AU56" s="121"/>
      <c r="AV56" s="121"/>
      <c r="AW56" s="155"/>
    </row>
    <row r="57" spans="1:49" s="31" customFormat="1" ht="36">
      <c r="A57" s="316"/>
      <c r="B57" s="357"/>
      <c r="C57" s="401"/>
      <c r="D57" s="404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70"/>
      <c r="AT57" s="389"/>
      <c r="AU57" s="121"/>
      <c r="AV57" s="121"/>
      <c r="AW57" s="155"/>
    </row>
    <row r="58" spans="1:49" s="31" customFormat="1" ht="12.75">
      <c r="A58" s="316"/>
      <c r="B58" s="357"/>
      <c r="C58" s="401"/>
      <c r="D58" s="404"/>
      <c r="E58" s="108" t="s">
        <v>44</v>
      </c>
      <c r="F58" s="104">
        <f t="shared" ref="F58:G59" si="60">I58+L58+O58+R58+U58+X58+AA58+AD58+AG58+AJ58+AM58+AP58</f>
        <v>599.4</v>
      </c>
      <c r="G58" s="104">
        <f t="shared" si="60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f>119.8-119.8</f>
        <v>0</v>
      </c>
      <c r="P58" s="104">
        <v>0</v>
      </c>
      <c r="Q58" s="104" t="e">
        <f t="shared" si="59"/>
        <v>#DIV/0!</v>
      </c>
      <c r="R58" s="104">
        <v>119.8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70"/>
      <c r="AT58" s="389"/>
      <c r="AU58" s="121"/>
      <c r="AV58" s="121"/>
      <c r="AW58" s="155"/>
    </row>
    <row r="59" spans="1:49" s="31" customFormat="1" ht="66" customHeight="1">
      <c r="A59" s="317"/>
      <c r="B59" s="358"/>
      <c r="C59" s="402"/>
      <c r="D59" s="405"/>
      <c r="E59" s="109" t="s">
        <v>257</v>
      </c>
      <c r="F59" s="104">
        <f t="shared" si="60"/>
        <v>0</v>
      </c>
      <c r="G59" s="104">
        <f t="shared" si="60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71"/>
      <c r="AT59" s="390"/>
      <c r="AU59" s="121"/>
      <c r="AV59" s="121"/>
      <c r="AW59" s="155"/>
    </row>
    <row r="60" spans="1:49" s="31" customFormat="1" ht="15.75">
      <c r="A60" s="297" t="s">
        <v>384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9"/>
      <c r="AU60" s="121"/>
      <c r="AV60" s="121"/>
      <c r="AW60" s="155"/>
    </row>
    <row r="61" spans="1:49" s="31" customFormat="1" ht="15.75">
      <c r="A61" s="297" t="s">
        <v>385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9"/>
      <c r="AU61" s="121"/>
      <c r="AV61" s="121"/>
      <c r="AW61" s="155"/>
    </row>
    <row r="62" spans="1:49" s="100" customFormat="1" ht="12.75">
      <c r="A62" s="338" t="s">
        <v>272</v>
      </c>
      <c r="B62" s="339"/>
      <c r="C62" s="339"/>
      <c r="D62" s="340"/>
      <c r="E62" s="129" t="s">
        <v>42</v>
      </c>
      <c r="F62" s="106">
        <f>F63+F64+F65</f>
        <v>10588.099999999999</v>
      </c>
      <c r="G62" s="106">
        <f t="shared" ref="G62:AP62" si="61">G63+G64+G65</f>
        <v>245</v>
      </c>
      <c r="H62" s="106">
        <f>G62/F62*100</f>
        <v>2.313918455624711</v>
      </c>
      <c r="I62" s="106">
        <f t="shared" si="61"/>
        <v>0</v>
      </c>
      <c r="J62" s="106">
        <f t="shared" si="61"/>
        <v>0</v>
      </c>
      <c r="K62" s="106">
        <v>0</v>
      </c>
      <c r="L62" s="106">
        <f t="shared" si="61"/>
        <v>193.39999999999998</v>
      </c>
      <c r="M62" s="106">
        <f t="shared" si="61"/>
        <v>173.7</v>
      </c>
      <c r="N62" s="106">
        <f t="shared" si="61"/>
        <v>186.62063134160093</v>
      </c>
      <c r="O62" s="106">
        <f t="shared" si="61"/>
        <v>173.90000000000009</v>
      </c>
      <c r="P62" s="106">
        <f t="shared" si="61"/>
        <v>71.3</v>
      </c>
      <c r="Q62" s="106">
        <f>P62/O62*100</f>
        <v>41.000575043128215</v>
      </c>
      <c r="R62" s="106">
        <f t="shared" si="61"/>
        <v>4338.7999999999993</v>
      </c>
      <c r="S62" s="106">
        <f t="shared" si="61"/>
        <v>0</v>
      </c>
      <c r="T62" s="106">
        <f>S62/R62*100</f>
        <v>0</v>
      </c>
      <c r="U62" s="106">
        <f t="shared" si="61"/>
        <v>1300.6000000000001</v>
      </c>
      <c r="V62" s="106">
        <f t="shared" si="61"/>
        <v>0</v>
      </c>
      <c r="W62" s="106">
        <f t="shared" si="61"/>
        <v>0</v>
      </c>
      <c r="X62" s="106">
        <f t="shared" si="61"/>
        <v>1288.6000000000001</v>
      </c>
      <c r="Y62" s="106">
        <f t="shared" si="61"/>
        <v>0</v>
      </c>
      <c r="Z62" s="106">
        <f t="shared" si="61"/>
        <v>0</v>
      </c>
      <c r="AA62" s="106">
        <f t="shared" si="61"/>
        <v>1075.6000000000001</v>
      </c>
      <c r="AB62" s="106">
        <f t="shared" si="61"/>
        <v>0</v>
      </c>
      <c r="AC62" s="106">
        <f t="shared" si="61"/>
        <v>0</v>
      </c>
      <c r="AD62" s="106">
        <f t="shared" si="61"/>
        <v>150.6</v>
      </c>
      <c r="AE62" s="106">
        <f t="shared" si="61"/>
        <v>0</v>
      </c>
      <c r="AF62" s="106">
        <f t="shared" ref="AF62" si="62">AE62/AD62*100</f>
        <v>0</v>
      </c>
      <c r="AG62" s="106">
        <f t="shared" si="61"/>
        <v>200.6</v>
      </c>
      <c r="AH62" s="106">
        <f t="shared" si="61"/>
        <v>0</v>
      </c>
      <c r="AI62" s="106">
        <f t="shared" si="61"/>
        <v>0</v>
      </c>
      <c r="AJ62" s="106">
        <f t="shared" si="61"/>
        <v>162.6</v>
      </c>
      <c r="AK62" s="106">
        <f t="shared" si="61"/>
        <v>0</v>
      </c>
      <c r="AL62" s="106">
        <f t="shared" si="61"/>
        <v>0</v>
      </c>
      <c r="AM62" s="106">
        <f t="shared" si="61"/>
        <v>1339.8</v>
      </c>
      <c r="AN62" s="106">
        <f t="shared" si="61"/>
        <v>0</v>
      </c>
      <c r="AO62" s="106">
        <f t="shared" si="61"/>
        <v>0</v>
      </c>
      <c r="AP62" s="106">
        <f t="shared" si="61"/>
        <v>363.6</v>
      </c>
      <c r="AQ62" s="106">
        <f>AQ92+AQ100</f>
        <v>0</v>
      </c>
      <c r="AR62" s="106">
        <f>AR92+AR100</f>
        <v>0</v>
      </c>
      <c r="AS62" s="309"/>
      <c r="AT62" s="350"/>
      <c r="AU62" s="121"/>
      <c r="AV62" s="121"/>
      <c r="AW62" s="155"/>
    </row>
    <row r="63" spans="1:49" s="100" customFormat="1" ht="36">
      <c r="A63" s="341"/>
      <c r="B63" s="342"/>
      <c r="C63" s="342"/>
      <c r="D63" s="343"/>
      <c r="E63" s="111" t="s">
        <v>3</v>
      </c>
      <c r="F63" s="106">
        <f>F70+F74+F78</f>
        <v>0</v>
      </c>
      <c r="G63" s="106">
        <f t="shared" ref="G63:AR65" si="63">G70+G74+G78</f>
        <v>0</v>
      </c>
      <c r="H63" s="106">
        <v>0</v>
      </c>
      <c r="I63" s="106">
        <f t="shared" si="63"/>
        <v>0</v>
      </c>
      <c r="J63" s="106">
        <f t="shared" si="63"/>
        <v>0</v>
      </c>
      <c r="K63" s="106">
        <v>0</v>
      </c>
      <c r="L63" s="106">
        <f t="shared" si="63"/>
        <v>0</v>
      </c>
      <c r="M63" s="106">
        <f t="shared" si="63"/>
        <v>0</v>
      </c>
      <c r="N63" s="106">
        <f t="shared" si="63"/>
        <v>0</v>
      </c>
      <c r="O63" s="106">
        <f t="shared" si="63"/>
        <v>0</v>
      </c>
      <c r="P63" s="106">
        <f t="shared" si="63"/>
        <v>0</v>
      </c>
      <c r="Q63" s="106">
        <v>0</v>
      </c>
      <c r="R63" s="106">
        <f t="shared" si="63"/>
        <v>0</v>
      </c>
      <c r="S63" s="106">
        <f t="shared" si="63"/>
        <v>0</v>
      </c>
      <c r="T63" s="106">
        <v>0</v>
      </c>
      <c r="U63" s="106">
        <f t="shared" si="63"/>
        <v>0</v>
      </c>
      <c r="V63" s="106">
        <f t="shared" si="63"/>
        <v>0</v>
      </c>
      <c r="W63" s="106">
        <f t="shared" si="63"/>
        <v>0</v>
      </c>
      <c r="X63" s="106">
        <f t="shared" si="63"/>
        <v>0</v>
      </c>
      <c r="Y63" s="106">
        <f t="shared" si="63"/>
        <v>0</v>
      </c>
      <c r="Z63" s="106">
        <f t="shared" si="63"/>
        <v>0</v>
      </c>
      <c r="AA63" s="106">
        <f t="shared" si="63"/>
        <v>0</v>
      </c>
      <c r="AB63" s="106">
        <f t="shared" si="63"/>
        <v>0</v>
      </c>
      <c r="AC63" s="106">
        <f t="shared" si="63"/>
        <v>0</v>
      </c>
      <c r="AD63" s="106">
        <f t="shared" si="63"/>
        <v>0</v>
      </c>
      <c r="AE63" s="106">
        <f t="shared" si="63"/>
        <v>0</v>
      </c>
      <c r="AF63" s="106">
        <f t="shared" si="63"/>
        <v>0</v>
      </c>
      <c r="AG63" s="106">
        <f t="shared" si="63"/>
        <v>0</v>
      </c>
      <c r="AH63" s="106">
        <f t="shared" si="63"/>
        <v>0</v>
      </c>
      <c r="AI63" s="106">
        <f t="shared" si="63"/>
        <v>0</v>
      </c>
      <c r="AJ63" s="106">
        <f t="shared" si="63"/>
        <v>0</v>
      </c>
      <c r="AK63" s="106">
        <f t="shared" si="63"/>
        <v>0</v>
      </c>
      <c r="AL63" s="106">
        <f t="shared" si="63"/>
        <v>0</v>
      </c>
      <c r="AM63" s="106">
        <f t="shared" si="63"/>
        <v>0</v>
      </c>
      <c r="AN63" s="106">
        <f t="shared" si="63"/>
        <v>0</v>
      </c>
      <c r="AO63" s="106">
        <f t="shared" si="63"/>
        <v>0</v>
      </c>
      <c r="AP63" s="106">
        <f t="shared" si="63"/>
        <v>0</v>
      </c>
      <c r="AQ63" s="106">
        <f t="shared" si="63"/>
        <v>0</v>
      </c>
      <c r="AR63" s="106">
        <f t="shared" si="63"/>
        <v>0</v>
      </c>
      <c r="AS63" s="310"/>
      <c r="AT63" s="351"/>
      <c r="AU63" s="121"/>
      <c r="AV63" s="121"/>
      <c r="AW63" s="155"/>
    </row>
    <row r="64" spans="1:49" s="100" customFormat="1" ht="24">
      <c r="A64" s="341"/>
      <c r="B64" s="342"/>
      <c r="C64" s="342"/>
      <c r="D64" s="343"/>
      <c r="E64" s="111" t="s">
        <v>44</v>
      </c>
      <c r="F64" s="106">
        <f>F71+F75+F79</f>
        <v>10588.099999999999</v>
      </c>
      <c r="G64" s="106">
        <f t="shared" si="63"/>
        <v>245</v>
      </c>
      <c r="H64" s="106">
        <f>G64/F64*100</f>
        <v>2.313918455624711</v>
      </c>
      <c r="I64" s="106">
        <f t="shared" si="63"/>
        <v>0</v>
      </c>
      <c r="J64" s="106">
        <f t="shared" si="63"/>
        <v>0</v>
      </c>
      <c r="K64" s="106">
        <v>0</v>
      </c>
      <c r="L64" s="106">
        <f t="shared" si="63"/>
        <v>193.39999999999998</v>
      </c>
      <c r="M64" s="106">
        <f t="shared" si="63"/>
        <v>173.7</v>
      </c>
      <c r="N64" s="106">
        <f t="shared" si="63"/>
        <v>186.62063134160093</v>
      </c>
      <c r="O64" s="106">
        <f t="shared" si="63"/>
        <v>173.90000000000009</v>
      </c>
      <c r="P64" s="106">
        <f t="shared" si="63"/>
        <v>71.3</v>
      </c>
      <c r="Q64" s="106">
        <f t="shared" ref="Q64" si="64">P64/O64*100</f>
        <v>41.000575043128215</v>
      </c>
      <c r="R64" s="106">
        <f t="shared" si="63"/>
        <v>4338.7999999999993</v>
      </c>
      <c r="S64" s="106">
        <f t="shared" si="63"/>
        <v>0</v>
      </c>
      <c r="T64" s="106">
        <f t="shared" ref="T64" si="65">S64/R64*100</f>
        <v>0</v>
      </c>
      <c r="U64" s="106">
        <f t="shared" si="63"/>
        <v>1300.6000000000001</v>
      </c>
      <c r="V64" s="106">
        <f t="shared" si="63"/>
        <v>0</v>
      </c>
      <c r="W64" s="106">
        <f t="shared" si="63"/>
        <v>0</v>
      </c>
      <c r="X64" s="106">
        <f t="shared" si="63"/>
        <v>1288.6000000000001</v>
      </c>
      <c r="Y64" s="106">
        <f t="shared" si="63"/>
        <v>0</v>
      </c>
      <c r="Z64" s="106">
        <f t="shared" si="63"/>
        <v>0</v>
      </c>
      <c r="AA64" s="106">
        <f t="shared" si="63"/>
        <v>1075.6000000000001</v>
      </c>
      <c r="AB64" s="106">
        <f t="shared" si="63"/>
        <v>0</v>
      </c>
      <c r="AC64" s="106">
        <f t="shared" si="63"/>
        <v>0</v>
      </c>
      <c r="AD64" s="106">
        <f t="shared" si="63"/>
        <v>150.6</v>
      </c>
      <c r="AE64" s="106">
        <f t="shared" si="63"/>
        <v>0</v>
      </c>
      <c r="AF64" s="106">
        <f t="shared" ref="AF64" si="66">AE64/AD64*100</f>
        <v>0</v>
      </c>
      <c r="AG64" s="106">
        <f t="shared" si="63"/>
        <v>200.6</v>
      </c>
      <c r="AH64" s="106">
        <f t="shared" si="63"/>
        <v>0</v>
      </c>
      <c r="AI64" s="106">
        <f t="shared" si="63"/>
        <v>0</v>
      </c>
      <c r="AJ64" s="106">
        <f t="shared" si="63"/>
        <v>162.6</v>
      </c>
      <c r="AK64" s="106">
        <f t="shared" si="63"/>
        <v>0</v>
      </c>
      <c r="AL64" s="106">
        <f t="shared" si="63"/>
        <v>0</v>
      </c>
      <c r="AM64" s="106">
        <f t="shared" si="63"/>
        <v>1339.8</v>
      </c>
      <c r="AN64" s="106">
        <f t="shared" si="63"/>
        <v>0</v>
      </c>
      <c r="AO64" s="106">
        <f t="shared" si="63"/>
        <v>0</v>
      </c>
      <c r="AP64" s="106">
        <f t="shared" si="63"/>
        <v>363.6</v>
      </c>
      <c r="AQ64" s="106">
        <f t="shared" si="63"/>
        <v>0</v>
      </c>
      <c r="AR64" s="106">
        <f t="shared" si="63"/>
        <v>0</v>
      </c>
      <c r="AS64" s="310"/>
      <c r="AT64" s="351"/>
      <c r="AU64" s="121"/>
      <c r="AV64" s="121"/>
      <c r="AW64" s="155"/>
    </row>
    <row r="65" spans="1:49" s="100" customFormat="1" ht="24">
      <c r="A65" s="344"/>
      <c r="B65" s="345"/>
      <c r="C65" s="345"/>
      <c r="D65" s="346"/>
      <c r="E65" s="110" t="s">
        <v>257</v>
      </c>
      <c r="F65" s="106">
        <f>F72+F76+F80</f>
        <v>0</v>
      </c>
      <c r="G65" s="106">
        <f t="shared" si="63"/>
        <v>0</v>
      </c>
      <c r="H65" s="106">
        <v>0</v>
      </c>
      <c r="I65" s="106">
        <f t="shared" si="63"/>
        <v>0</v>
      </c>
      <c r="J65" s="106">
        <f t="shared" si="63"/>
        <v>0</v>
      </c>
      <c r="K65" s="106">
        <v>0</v>
      </c>
      <c r="L65" s="106">
        <f t="shared" si="63"/>
        <v>0</v>
      </c>
      <c r="M65" s="106">
        <f t="shared" si="63"/>
        <v>0</v>
      </c>
      <c r="N65" s="106">
        <f t="shared" si="63"/>
        <v>0</v>
      </c>
      <c r="O65" s="106">
        <f t="shared" si="63"/>
        <v>0</v>
      </c>
      <c r="P65" s="106">
        <f t="shared" si="63"/>
        <v>0</v>
      </c>
      <c r="Q65" s="106">
        <v>0</v>
      </c>
      <c r="R65" s="106">
        <f t="shared" si="63"/>
        <v>0</v>
      </c>
      <c r="S65" s="106">
        <f t="shared" si="63"/>
        <v>0</v>
      </c>
      <c r="T65" s="106">
        <v>0</v>
      </c>
      <c r="U65" s="106">
        <f t="shared" si="63"/>
        <v>0</v>
      </c>
      <c r="V65" s="106">
        <f t="shared" si="63"/>
        <v>0</v>
      </c>
      <c r="W65" s="106">
        <f t="shared" si="63"/>
        <v>0</v>
      </c>
      <c r="X65" s="106">
        <f t="shared" si="63"/>
        <v>0</v>
      </c>
      <c r="Y65" s="106">
        <f t="shared" si="63"/>
        <v>0</v>
      </c>
      <c r="Z65" s="106">
        <f t="shared" si="63"/>
        <v>0</v>
      </c>
      <c r="AA65" s="106">
        <f t="shared" si="63"/>
        <v>0</v>
      </c>
      <c r="AB65" s="106">
        <f t="shared" si="63"/>
        <v>0</v>
      </c>
      <c r="AC65" s="106">
        <f t="shared" si="63"/>
        <v>0</v>
      </c>
      <c r="AD65" s="106">
        <f t="shared" si="63"/>
        <v>0</v>
      </c>
      <c r="AE65" s="106">
        <f t="shared" si="63"/>
        <v>0</v>
      </c>
      <c r="AF65" s="106">
        <f t="shared" si="63"/>
        <v>0</v>
      </c>
      <c r="AG65" s="106">
        <f t="shared" si="63"/>
        <v>0</v>
      </c>
      <c r="AH65" s="106">
        <f t="shared" si="63"/>
        <v>0</v>
      </c>
      <c r="AI65" s="106">
        <f t="shared" si="63"/>
        <v>0</v>
      </c>
      <c r="AJ65" s="106">
        <f t="shared" si="63"/>
        <v>0</v>
      </c>
      <c r="AK65" s="106">
        <f t="shared" si="63"/>
        <v>0</v>
      </c>
      <c r="AL65" s="106">
        <f t="shared" si="63"/>
        <v>0</v>
      </c>
      <c r="AM65" s="106">
        <f t="shared" si="63"/>
        <v>0</v>
      </c>
      <c r="AN65" s="106">
        <f t="shared" si="63"/>
        <v>0</v>
      </c>
      <c r="AO65" s="106">
        <f t="shared" si="63"/>
        <v>0</v>
      </c>
      <c r="AP65" s="106">
        <f t="shared" si="63"/>
        <v>0</v>
      </c>
      <c r="AQ65" s="106">
        <f t="shared" si="63"/>
        <v>0</v>
      </c>
      <c r="AR65" s="106">
        <f t="shared" si="63"/>
        <v>0</v>
      </c>
      <c r="AS65" s="311"/>
      <c r="AT65" s="352"/>
      <c r="AU65" s="121"/>
      <c r="AV65" s="121"/>
      <c r="AW65" s="155"/>
    </row>
    <row r="66" spans="1:49" s="100" customFormat="1" ht="72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419</v>
      </c>
      <c r="AT66" s="134"/>
      <c r="AU66" s="121"/>
      <c r="AV66" s="121"/>
      <c r="AW66" s="155"/>
    </row>
    <row r="67" spans="1:49" s="100" customFormat="1" ht="96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420</v>
      </c>
      <c r="AT67" s="134"/>
      <c r="AU67" s="121"/>
      <c r="AV67" s="121"/>
      <c r="AW67" s="155"/>
    </row>
    <row r="68" spans="1:49" s="100" customFormat="1" ht="264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421</v>
      </c>
      <c r="AT68" s="134"/>
      <c r="AU68" s="121"/>
      <c r="AV68" s="121"/>
      <c r="AW68" s="155"/>
    </row>
    <row r="69" spans="1:49" s="31" customFormat="1" ht="12.75">
      <c r="A69" s="365" t="s">
        <v>395</v>
      </c>
      <c r="B69" s="318" t="s">
        <v>396</v>
      </c>
      <c r="C69" s="321" t="s">
        <v>277</v>
      </c>
      <c r="D69" s="327" t="s">
        <v>397</v>
      </c>
      <c r="E69" s="107" t="s">
        <v>42</v>
      </c>
      <c r="F69" s="123">
        <f>SUM(F70:F72)</f>
        <v>1572.1</v>
      </c>
      <c r="G69" s="123">
        <f t="shared" ref="G69" si="67">SUM(G70:G72)</f>
        <v>227.2</v>
      </c>
      <c r="H69" s="123">
        <f>G69/F69*100</f>
        <v>14.452006869791997</v>
      </c>
      <c r="I69" s="138">
        <f t="shared" ref="I69:AP69" si="68">I70+I71+I72</f>
        <v>0</v>
      </c>
      <c r="J69" s="138">
        <f t="shared" si="68"/>
        <v>0</v>
      </c>
      <c r="K69" s="123">
        <v>0</v>
      </c>
      <c r="L69" s="138">
        <f t="shared" si="68"/>
        <v>177.39999999999998</v>
      </c>
      <c r="M69" s="132">
        <f t="shared" si="68"/>
        <v>158.1</v>
      </c>
      <c r="N69" s="132">
        <f>M69/L69*100</f>
        <v>89.120631341600912</v>
      </c>
      <c r="O69" s="132">
        <f t="shared" si="68"/>
        <v>70.000000000000014</v>
      </c>
      <c r="P69" s="132">
        <f t="shared" si="68"/>
        <v>69.099999999999994</v>
      </c>
      <c r="Q69" s="123">
        <f t="shared" ref="Q69:Q79" si="69">P69/O69*100</f>
        <v>98.714285714285694</v>
      </c>
      <c r="R69" s="132">
        <f t="shared" si="68"/>
        <v>61.4</v>
      </c>
      <c r="S69" s="132">
        <f t="shared" si="68"/>
        <v>0</v>
      </c>
      <c r="T69" s="132">
        <f>S69/R69*100</f>
        <v>0</v>
      </c>
      <c r="U69" s="138">
        <f t="shared" si="68"/>
        <v>61.4</v>
      </c>
      <c r="V69" s="138">
        <f t="shared" si="68"/>
        <v>0</v>
      </c>
      <c r="W69" s="132">
        <f t="shared" ref="W69" si="70">V69/U69*100</f>
        <v>0</v>
      </c>
      <c r="X69" s="132">
        <f t="shared" si="68"/>
        <v>61.4</v>
      </c>
      <c r="Y69" s="132">
        <f t="shared" si="68"/>
        <v>0</v>
      </c>
      <c r="Z69" s="132">
        <f t="shared" ref="Z69" si="71">Y69/X69*100</f>
        <v>0</v>
      </c>
      <c r="AA69" s="132">
        <f t="shared" si="68"/>
        <v>61.4</v>
      </c>
      <c r="AB69" s="132">
        <f t="shared" si="68"/>
        <v>0</v>
      </c>
      <c r="AC69" s="132">
        <f t="shared" ref="AC69" si="72">AB69/AA69*100</f>
        <v>0</v>
      </c>
      <c r="AD69" s="132">
        <f t="shared" si="68"/>
        <v>61.4</v>
      </c>
      <c r="AE69" s="138">
        <f t="shared" si="68"/>
        <v>0</v>
      </c>
      <c r="AF69" s="104">
        <f t="shared" ref="AF69" si="73">AE69/AD69*100</f>
        <v>0</v>
      </c>
      <c r="AG69" s="138">
        <f t="shared" si="68"/>
        <v>61.4</v>
      </c>
      <c r="AH69" s="138">
        <f t="shared" si="68"/>
        <v>0</v>
      </c>
      <c r="AI69" s="132">
        <f t="shared" ref="AI69" si="74">AH69/AG69*100</f>
        <v>0</v>
      </c>
      <c r="AJ69" s="138">
        <f t="shared" si="68"/>
        <v>61.4</v>
      </c>
      <c r="AK69" s="138">
        <f t="shared" si="68"/>
        <v>0</v>
      </c>
      <c r="AL69" s="138">
        <f t="shared" si="68"/>
        <v>0</v>
      </c>
      <c r="AM69" s="138">
        <f t="shared" si="68"/>
        <v>780.5</v>
      </c>
      <c r="AN69" s="138">
        <f t="shared" si="68"/>
        <v>0</v>
      </c>
      <c r="AO69" s="138">
        <f t="shared" si="68"/>
        <v>0</v>
      </c>
      <c r="AP69" s="138">
        <f t="shared" si="68"/>
        <v>114.39999999999999</v>
      </c>
      <c r="AQ69" s="104"/>
      <c r="AR69" s="104"/>
      <c r="AS69" s="324" t="s">
        <v>422</v>
      </c>
      <c r="AT69" s="427" t="s">
        <v>423</v>
      </c>
      <c r="AU69" s="121"/>
      <c r="AV69" s="121"/>
      <c r="AW69" s="155"/>
    </row>
    <row r="70" spans="1:49" s="31" customFormat="1" ht="36">
      <c r="A70" s="366"/>
      <c r="B70" s="319"/>
      <c r="C70" s="322"/>
      <c r="D70" s="328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25"/>
      <c r="AT70" s="428"/>
      <c r="AU70" s="121"/>
      <c r="AV70" s="121"/>
      <c r="AW70" s="155"/>
    </row>
    <row r="71" spans="1:49" s="31" customFormat="1" ht="12.75">
      <c r="A71" s="366"/>
      <c r="B71" s="319"/>
      <c r="C71" s="322"/>
      <c r="D71" s="328"/>
      <c r="E71" s="108" t="s">
        <v>44</v>
      </c>
      <c r="F71" s="123">
        <f t="shared" ref="F71:G72" si="75">I71+L71+O71+R71+U71+X71+AA71+AD71+AG71+AJ71+AM71+AP71</f>
        <v>1572.1</v>
      </c>
      <c r="G71" s="123">
        <f t="shared" si="75"/>
        <v>227.2</v>
      </c>
      <c r="H71" s="123">
        <f>G71/F71*100</f>
        <v>14.452006869791997</v>
      </c>
      <c r="I71" s="123">
        <v>0</v>
      </c>
      <c r="J71" s="123">
        <v>0</v>
      </c>
      <c r="K71" s="123">
        <v>0</v>
      </c>
      <c r="L71" s="150">
        <f>61.4+10.2+105.8</f>
        <v>177.39999999999998</v>
      </c>
      <c r="M71" s="123">
        <v>158.1</v>
      </c>
      <c r="N71" s="138">
        <f t="shared" ref="N71" si="76">M71/L71*100</f>
        <v>89.120631341600912</v>
      </c>
      <c r="O71" s="123">
        <f>207.4-31.6-105.8</f>
        <v>70.000000000000014</v>
      </c>
      <c r="P71" s="123">
        <v>69.099999999999994</v>
      </c>
      <c r="Q71" s="123">
        <f t="shared" si="69"/>
        <v>98.714285714285694</v>
      </c>
      <c r="R71" s="123">
        <v>61.4</v>
      </c>
      <c r="S71" s="123">
        <v>0</v>
      </c>
      <c r="T71" s="132">
        <f t="shared" ref="T71:T79" si="77">S71/R71*100</f>
        <v>0</v>
      </c>
      <c r="U71" s="117">
        <v>61.4</v>
      </c>
      <c r="V71" s="117">
        <v>0</v>
      </c>
      <c r="W71" s="132">
        <f t="shared" ref="W71" si="78">V71/U71*100</f>
        <v>0</v>
      </c>
      <c r="X71" s="117">
        <v>61.4</v>
      </c>
      <c r="Y71" s="117">
        <v>0</v>
      </c>
      <c r="Z71" s="132">
        <f t="shared" ref="Z71" si="79">Y71/X71*100</f>
        <v>0</v>
      </c>
      <c r="AA71" s="117">
        <v>61.4</v>
      </c>
      <c r="AB71" s="117">
        <v>0</v>
      </c>
      <c r="AC71" s="132">
        <f t="shared" ref="AC71" si="80">AB71/AA71*100</f>
        <v>0</v>
      </c>
      <c r="AD71" s="117">
        <v>61.4</v>
      </c>
      <c r="AE71" s="117">
        <v>0</v>
      </c>
      <c r="AF71" s="132">
        <f t="shared" ref="AF71" si="81">AE71/AD71*100</f>
        <v>0</v>
      </c>
      <c r="AG71" s="117">
        <v>61.4</v>
      </c>
      <c r="AH71" s="117">
        <v>0</v>
      </c>
      <c r="AI71" s="132">
        <f t="shared" ref="AI71" si="82">AH71/AG71*100</f>
        <v>0</v>
      </c>
      <c r="AJ71" s="123">
        <v>61.4</v>
      </c>
      <c r="AK71" s="123">
        <v>0</v>
      </c>
      <c r="AL71" s="123">
        <v>0</v>
      </c>
      <c r="AM71" s="117">
        <f>790.7-10.2</f>
        <v>780.5</v>
      </c>
      <c r="AN71" s="117">
        <v>0</v>
      </c>
      <c r="AO71" s="117">
        <v>0</v>
      </c>
      <c r="AP71" s="123">
        <f>122.8-8.4</f>
        <v>114.39999999999999</v>
      </c>
      <c r="AQ71" s="104"/>
      <c r="AR71" s="104"/>
      <c r="AS71" s="325"/>
      <c r="AT71" s="428"/>
      <c r="AU71" s="121"/>
      <c r="AV71" s="121"/>
      <c r="AW71" s="155"/>
    </row>
    <row r="72" spans="1:49" s="31" customFormat="1" ht="39.75" customHeight="1">
      <c r="A72" s="367"/>
      <c r="B72" s="320"/>
      <c r="C72" s="323"/>
      <c r="D72" s="334"/>
      <c r="E72" s="109" t="s">
        <v>257</v>
      </c>
      <c r="F72" s="123">
        <f t="shared" si="75"/>
        <v>0</v>
      </c>
      <c r="G72" s="123">
        <f t="shared" si="75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26"/>
      <c r="AT72" s="429"/>
      <c r="AU72" s="121"/>
      <c r="AV72" s="121"/>
      <c r="AW72" s="155"/>
    </row>
    <row r="73" spans="1:49" s="31" customFormat="1" ht="12.75">
      <c r="A73" s="365" t="s">
        <v>398</v>
      </c>
      <c r="B73" s="318" t="s">
        <v>258</v>
      </c>
      <c r="C73" s="321" t="s">
        <v>277</v>
      </c>
      <c r="D73" s="327" t="s">
        <v>400</v>
      </c>
      <c r="E73" s="107" t="s">
        <v>42</v>
      </c>
      <c r="F73" s="123">
        <f>SUM(F74:F76)</f>
        <v>455.1</v>
      </c>
      <c r="G73" s="123">
        <f t="shared" ref="G73" si="83">SUM(G74:G76)</f>
        <v>0</v>
      </c>
      <c r="H73" s="123">
        <f>G73/F73*100</f>
        <v>0</v>
      </c>
      <c r="I73" s="138">
        <f t="shared" ref="I73:AP73" si="84">I74+I75+I76</f>
        <v>0</v>
      </c>
      <c r="J73" s="138">
        <f t="shared" si="84"/>
        <v>0</v>
      </c>
      <c r="K73" s="123">
        <v>0</v>
      </c>
      <c r="L73" s="138">
        <f t="shared" si="84"/>
        <v>0</v>
      </c>
      <c r="M73" s="132">
        <f t="shared" si="84"/>
        <v>0</v>
      </c>
      <c r="N73" s="132">
        <v>0</v>
      </c>
      <c r="O73" s="132">
        <f t="shared" si="84"/>
        <v>0</v>
      </c>
      <c r="P73" s="132">
        <f t="shared" si="84"/>
        <v>0</v>
      </c>
      <c r="Q73" s="123">
        <v>0</v>
      </c>
      <c r="R73" s="132">
        <f t="shared" si="84"/>
        <v>0</v>
      </c>
      <c r="S73" s="132">
        <f t="shared" si="84"/>
        <v>0</v>
      </c>
      <c r="T73" s="132">
        <v>0</v>
      </c>
      <c r="U73" s="132">
        <f t="shared" si="84"/>
        <v>0</v>
      </c>
      <c r="V73" s="132">
        <f t="shared" si="84"/>
        <v>0</v>
      </c>
      <c r="W73" s="132">
        <f t="shared" si="84"/>
        <v>0</v>
      </c>
      <c r="X73" s="132">
        <f t="shared" si="84"/>
        <v>0</v>
      </c>
      <c r="Y73" s="132">
        <f t="shared" si="84"/>
        <v>0</v>
      </c>
      <c r="Z73" s="138">
        <f t="shared" si="84"/>
        <v>0</v>
      </c>
      <c r="AA73" s="138">
        <f t="shared" si="84"/>
        <v>0</v>
      </c>
      <c r="AB73" s="138">
        <f t="shared" si="84"/>
        <v>0</v>
      </c>
      <c r="AC73" s="138">
        <f t="shared" si="84"/>
        <v>0</v>
      </c>
      <c r="AD73" s="132">
        <f t="shared" si="84"/>
        <v>0</v>
      </c>
      <c r="AE73" s="132">
        <f t="shared" si="84"/>
        <v>0</v>
      </c>
      <c r="AF73" s="132">
        <f t="shared" si="84"/>
        <v>0</v>
      </c>
      <c r="AG73" s="132">
        <f t="shared" si="84"/>
        <v>0</v>
      </c>
      <c r="AH73" s="132">
        <f t="shared" si="84"/>
        <v>0</v>
      </c>
      <c r="AI73" s="132">
        <f t="shared" si="84"/>
        <v>0</v>
      </c>
      <c r="AJ73" s="132">
        <f t="shared" si="84"/>
        <v>0</v>
      </c>
      <c r="AK73" s="132">
        <f t="shared" si="84"/>
        <v>0</v>
      </c>
      <c r="AL73" s="132">
        <f t="shared" si="84"/>
        <v>0</v>
      </c>
      <c r="AM73" s="132">
        <f t="shared" si="84"/>
        <v>455.1</v>
      </c>
      <c r="AN73" s="132">
        <f t="shared" si="84"/>
        <v>0</v>
      </c>
      <c r="AO73" s="132">
        <f t="shared" si="84"/>
        <v>0</v>
      </c>
      <c r="AP73" s="132">
        <f t="shared" si="84"/>
        <v>0</v>
      </c>
      <c r="AQ73" s="104"/>
      <c r="AR73" s="104"/>
      <c r="AS73" s="369" t="s">
        <v>425</v>
      </c>
      <c r="AT73" s="412" t="s">
        <v>424</v>
      </c>
      <c r="AU73" s="121"/>
      <c r="AV73" s="121"/>
      <c r="AW73" s="155"/>
    </row>
    <row r="74" spans="1:49" s="31" customFormat="1" ht="36">
      <c r="A74" s="366"/>
      <c r="B74" s="319"/>
      <c r="C74" s="322"/>
      <c r="D74" s="328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70"/>
      <c r="AT74" s="413"/>
      <c r="AU74" s="121"/>
      <c r="AV74" s="121"/>
      <c r="AW74" s="155"/>
    </row>
    <row r="75" spans="1:49" s="31" customFormat="1" ht="24.75" customHeight="1">
      <c r="A75" s="366"/>
      <c r="B75" s="319"/>
      <c r="C75" s="322"/>
      <c r="D75" s="328"/>
      <c r="E75" s="108" t="s">
        <v>44</v>
      </c>
      <c r="F75" s="123">
        <f t="shared" ref="F75:G76" si="85">I75+L75+O75+R75+U75+X75+AA75+AD75+AG75+AJ75+AM75+AP75</f>
        <v>455.1</v>
      </c>
      <c r="G75" s="123">
        <f t="shared" si="85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70"/>
      <c r="AT75" s="413"/>
      <c r="AU75" s="121"/>
      <c r="AV75" s="121"/>
      <c r="AW75" s="155"/>
    </row>
    <row r="76" spans="1:49" s="31" customFormat="1" ht="24" customHeight="1">
      <c r="A76" s="367"/>
      <c r="B76" s="320"/>
      <c r="C76" s="323"/>
      <c r="D76" s="334"/>
      <c r="E76" s="109" t="s">
        <v>257</v>
      </c>
      <c r="F76" s="123">
        <f t="shared" si="85"/>
        <v>0</v>
      </c>
      <c r="G76" s="123">
        <f t="shared" si="85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71"/>
      <c r="AT76" s="414"/>
      <c r="AU76" s="121"/>
      <c r="AV76" s="121"/>
      <c r="AW76" s="155"/>
    </row>
    <row r="77" spans="1:49" s="31" customFormat="1" ht="12.75">
      <c r="A77" s="365" t="s">
        <v>399</v>
      </c>
      <c r="B77" s="318" t="s">
        <v>295</v>
      </c>
      <c r="C77" s="321" t="s">
        <v>401</v>
      </c>
      <c r="D77" s="327" t="s">
        <v>402</v>
      </c>
      <c r="E77" s="107" t="s">
        <v>42</v>
      </c>
      <c r="F77" s="123">
        <f>SUM(F78:F80)</f>
        <v>8560.9</v>
      </c>
      <c r="G77" s="123">
        <f t="shared" ref="G77" si="86">SUM(G78:G80)</f>
        <v>17.8</v>
      </c>
      <c r="H77" s="123">
        <f>G77/F77*100</f>
        <v>0.20792206426894369</v>
      </c>
      <c r="I77" s="132">
        <f t="shared" ref="I77:AP77" si="87">I78+I79+I80</f>
        <v>0</v>
      </c>
      <c r="J77" s="132">
        <f t="shared" si="87"/>
        <v>0</v>
      </c>
      <c r="K77" s="123">
        <v>0</v>
      </c>
      <c r="L77" s="132">
        <f t="shared" si="87"/>
        <v>16</v>
      </c>
      <c r="M77" s="132">
        <f t="shared" si="87"/>
        <v>15.6</v>
      </c>
      <c r="N77" s="132">
        <f>M77/L77*100</f>
        <v>97.5</v>
      </c>
      <c r="O77" s="132">
        <f t="shared" si="87"/>
        <v>103.90000000000009</v>
      </c>
      <c r="P77" s="132">
        <f t="shared" si="87"/>
        <v>2.2000000000000002</v>
      </c>
      <c r="Q77" s="123">
        <f t="shared" si="69"/>
        <v>2.1174205967276212</v>
      </c>
      <c r="R77" s="132">
        <f t="shared" si="87"/>
        <v>4277.3999999999996</v>
      </c>
      <c r="S77" s="132">
        <f t="shared" si="87"/>
        <v>0</v>
      </c>
      <c r="T77" s="132">
        <f t="shared" si="77"/>
        <v>0</v>
      </c>
      <c r="U77" s="132">
        <f t="shared" si="87"/>
        <v>1239.2</v>
      </c>
      <c r="V77" s="132">
        <f t="shared" si="87"/>
        <v>0</v>
      </c>
      <c r="W77" s="138">
        <f t="shared" ref="W77" si="88">V77/U77*100</f>
        <v>0</v>
      </c>
      <c r="X77" s="132">
        <f t="shared" si="87"/>
        <v>1227.2</v>
      </c>
      <c r="Y77" s="132">
        <f t="shared" si="87"/>
        <v>0</v>
      </c>
      <c r="Z77" s="132">
        <f t="shared" si="87"/>
        <v>0</v>
      </c>
      <c r="AA77" s="132">
        <f t="shared" si="87"/>
        <v>1014.2</v>
      </c>
      <c r="AB77" s="132">
        <f t="shared" si="87"/>
        <v>0</v>
      </c>
      <c r="AC77" s="117">
        <f>AB77/AA77*100</f>
        <v>0</v>
      </c>
      <c r="AD77" s="132">
        <f t="shared" si="87"/>
        <v>89.2</v>
      </c>
      <c r="AE77" s="132">
        <f t="shared" si="87"/>
        <v>0</v>
      </c>
      <c r="AF77" s="104">
        <f t="shared" ref="AF77" si="89">AE77/AD77*100</f>
        <v>0</v>
      </c>
      <c r="AG77" s="132">
        <f t="shared" si="87"/>
        <v>139.19999999999999</v>
      </c>
      <c r="AH77" s="132">
        <f t="shared" si="87"/>
        <v>0</v>
      </c>
      <c r="AI77" s="104">
        <f t="shared" ref="AI77" si="90">AH77/AG77*100</f>
        <v>0</v>
      </c>
      <c r="AJ77" s="132">
        <f t="shared" si="87"/>
        <v>101.2</v>
      </c>
      <c r="AK77" s="132">
        <f t="shared" si="87"/>
        <v>0</v>
      </c>
      <c r="AL77" s="132">
        <f t="shared" si="87"/>
        <v>0</v>
      </c>
      <c r="AM77" s="132">
        <f t="shared" si="87"/>
        <v>104.2</v>
      </c>
      <c r="AN77" s="132">
        <f t="shared" si="87"/>
        <v>0</v>
      </c>
      <c r="AO77" s="132">
        <f t="shared" si="87"/>
        <v>0</v>
      </c>
      <c r="AP77" s="132">
        <f t="shared" si="87"/>
        <v>249.20000000000002</v>
      </c>
      <c r="AQ77" s="104"/>
      <c r="AR77" s="104"/>
      <c r="AS77" s="324" t="s">
        <v>427</v>
      </c>
      <c r="AT77" s="427" t="s">
        <v>426</v>
      </c>
      <c r="AU77" s="121"/>
      <c r="AV77" s="121"/>
      <c r="AW77" s="155"/>
    </row>
    <row r="78" spans="1:49" s="31" customFormat="1" ht="36">
      <c r="A78" s="366"/>
      <c r="B78" s="319"/>
      <c r="C78" s="322"/>
      <c r="D78" s="328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25"/>
      <c r="AT78" s="428"/>
      <c r="AU78" s="121"/>
      <c r="AV78" s="121"/>
      <c r="AW78" s="155"/>
    </row>
    <row r="79" spans="1:49" s="31" customFormat="1" ht="12.75">
      <c r="A79" s="366"/>
      <c r="B79" s="319"/>
      <c r="C79" s="322"/>
      <c r="D79" s="328"/>
      <c r="E79" s="108" t="s">
        <v>44</v>
      </c>
      <c r="F79" s="123">
        <f t="shared" ref="F79:G80" si="91">I79+L79+O79+R79+U79+X79+AA79+AD79+AG79+AJ79+AM79+AP79</f>
        <v>8560.9</v>
      </c>
      <c r="G79" s="123">
        <f t="shared" si="91"/>
        <v>17.8</v>
      </c>
      <c r="H79" s="123">
        <f>G79/F79*100</f>
        <v>0.20792206426894369</v>
      </c>
      <c r="I79" s="123">
        <v>0</v>
      </c>
      <c r="J79" s="123">
        <v>0</v>
      </c>
      <c r="K79" s="123">
        <v>0</v>
      </c>
      <c r="L79" s="150">
        <f>2231.1+45-2276.1+16</f>
        <v>16</v>
      </c>
      <c r="M79" s="123">
        <v>15.6</v>
      </c>
      <c r="N79" s="138">
        <f t="shared" ref="N79" si="92">M79/L79*100</f>
        <v>97.5</v>
      </c>
      <c r="O79" s="123">
        <f>1844+40+50-1734.1-16-80</f>
        <v>103.90000000000009</v>
      </c>
      <c r="P79" s="123">
        <v>2.2000000000000002</v>
      </c>
      <c r="Q79" s="123">
        <f t="shared" si="69"/>
        <v>2.1174205967276212</v>
      </c>
      <c r="R79" s="123">
        <f>229.2+38+4010.2</f>
        <v>4277.3999999999996</v>
      </c>
      <c r="S79" s="123">
        <v>0</v>
      </c>
      <c r="T79" s="138">
        <f t="shared" si="77"/>
        <v>0</v>
      </c>
      <c r="U79" s="117">
        <f>1129.2+30+80</f>
        <v>1239.2</v>
      </c>
      <c r="V79" s="117">
        <v>0</v>
      </c>
      <c r="W79" s="138">
        <f t="shared" ref="W79" si="93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94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25"/>
      <c r="AT79" s="428"/>
      <c r="AU79" s="121"/>
      <c r="AV79" s="121"/>
      <c r="AW79" s="155"/>
    </row>
    <row r="80" spans="1:49" s="31" customFormat="1" ht="9" customHeight="1">
      <c r="A80" s="367"/>
      <c r="B80" s="320"/>
      <c r="C80" s="323"/>
      <c r="D80" s="334"/>
      <c r="E80" s="109" t="s">
        <v>257</v>
      </c>
      <c r="F80" s="123">
        <f t="shared" si="91"/>
        <v>0</v>
      </c>
      <c r="G80" s="123">
        <f t="shared" si="91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26"/>
      <c r="AT80" s="429"/>
      <c r="AU80" s="121"/>
      <c r="AV80" s="121"/>
      <c r="AW80" s="155"/>
    </row>
    <row r="81" spans="1:48" s="100" customFormat="1" ht="12.75">
      <c r="A81" s="373" t="s">
        <v>256</v>
      </c>
      <c r="B81" s="374"/>
      <c r="C81" s="374"/>
      <c r="D81" s="375"/>
      <c r="E81" s="110" t="s">
        <v>42</v>
      </c>
      <c r="F81" s="106">
        <f>F82+F83+F84</f>
        <v>433567.59999999992</v>
      </c>
      <c r="G81" s="106">
        <f t="shared" ref="G81:AP81" si="95">G82+G83+G84</f>
        <v>87573.099999999977</v>
      </c>
      <c r="H81" s="106">
        <f>G81/F81*100</f>
        <v>20.198257434365484</v>
      </c>
      <c r="I81" s="106">
        <f t="shared" si="95"/>
        <v>13742.399999999998</v>
      </c>
      <c r="J81" s="106">
        <f t="shared" si="95"/>
        <v>25267</v>
      </c>
      <c r="K81" s="106">
        <f>J81/I81*100</f>
        <v>183.86162533473049</v>
      </c>
      <c r="L81" s="106">
        <f t="shared" si="95"/>
        <v>42724.600000000006</v>
      </c>
      <c r="M81" s="106">
        <f t="shared" si="95"/>
        <v>33691.599999999999</v>
      </c>
      <c r="N81" s="106">
        <f>M81/L81*100</f>
        <v>78.857613646470639</v>
      </c>
      <c r="O81" s="106">
        <f t="shared" si="95"/>
        <v>36856.100000000006</v>
      </c>
      <c r="P81" s="106">
        <f t="shared" si="95"/>
        <v>28614.499999999996</v>
      </c>
      <c r="Q81" s="106">
        <f>P81/O81*100</f>
        <v>77.638437056552362</v>
      </c>
      <c r="R81" s="106">
        <f t="shared" si="95"/>
        <v>47106.6</v>
      </c>
      <c r="S81" s="106">
        <f t="shared" si="95"/>
        <v>0</v>
      </c>
      <c r="T81" s="106">
        <f>S81/R81*100</f>
        <v>0</v>
      </c>
      <c r="U81" s="106">
        <f t="shared" si="95"/>
        <v>35582.399999999994</v>
      </c>
      <c r="V81" s="106">
        <f t="shared" si="95"/>
        <v>0</v>
      </c>
      <c r="W81" s="106">
        <f t="shared" si="95"/>
        <v>0</v>
      </c>
      <c r="X81" s="106">
        <f t="shared" si="95"/>
        <v>41537.69999999999</v>
      </c>
      <c r="Y81" s="106">
        <f t="shared" si="95"/>
        <v>0</v>
      </c>
      <c r="Z81" s="106" t="e">
        <f t="shared" si="95"/>
        <v>#REF!</v>
      </c>
      <c r="AA81" s="106">
        <f t="shared" si="95"/>
        <v>50658.1</v>
      </c>
      <c r="AB81" s="106">
        <f t="shared" si="95"/>
        <v>0</v>
      </c>
      <c r="AC81" s="106" t="e">
        <f t="shared" si="95"/>
        <v>#REF!</v>
      </c>
      <c r="AD81" s="106">
        <f t="shared" si="95"/>
        <v>36590</v>
      </c>
      <c r="AE81" s="106">
        <f t="shared" si="95"/>
        <v>0</v>
      </c>
      <c r="AF81" s="103">
        <f t="shared" ref="AF81:AF84" si="96">AE81/AD81*100</f>
        <v>0</v>
      </c>
      <c r="AG81" s="106">
        <f t="shared" si="95"/>
        <v>27715.699999999997</v>
      </c>
      <c r="AH81" s="106">
        <f t="shared" si="95"/>
        <v>0</v>
      </c>
      <c r="AI81" s="106" t="e">
        <f t="shared" si="95"/>
        <v>#REF!</v>
      </c>
      <c r="AJ81" s="106">
        <f t="shared" si="95"/>
        <v>24977.5</v>
      </c>
      <c r="AK81" s="106">
        <f t="shared" si="95"/>
        <v>0</v>
      </c>
      <c r="AL81" s="106" t="e">
        <f t="shared" si="95"/>
        <v>#REF!</v>
      </c>
      <c r="AM81" s="106">
        <f t="shared" si="95"/>
        <v>25612.799999999996</v>
      </c>
      <c r="AN81" s="106">
        <f t="shared" si="95"/>
        <v>0</v>
      </c>
      <c r="AO81" s="106" t="e">
        <f t="shared" si="95"/>
        <v>#REF!</v>
      </c>
      <c r="AP81" s="106">
        <f t="shared" si="95"/>
        <v>50463.7</v>
      </c>
      <c r="AQ81" s="103">
        <f t="shared" ref="AQ81:AR81" si="97">SUM(AQ82:AQ84)</f>
        <v>0</v>
      </c>
      <c r="AR81" s="103" t="e">
        <f t="shared" si="97"/>
        <v>#REF!</v>
      </c>
      <c r="AS81" s="309"/>
      <c r="AT81" s="382"/>
      <c r="AU81" s="121"/>
      <c r="AV81" s="127"/>
    </row>
    <row r="82" spans="1:48" s="100" customFormat="1" ht="36">
      <c r="A82" s="376"/>
      <c r="B82" s="377"/>
      <c r="C82" s="377"/>
      <c r="D82" s="378"/>
      <c r="E82" s="111" t="s">
        <v>3</v>
      </c>
      <c r="F82" s="106">
        <f t="shared" ref="F82:G84" si="98">F10+F34+F49+F63</f>
        <v>125134.89999999997</v>
      </c>
      <c r="G82" s="106">
        <f t="shared" si="98"/>
        <v>17974.2</v>
      </c>
      <c r="H82" s="106">
        <f>G82/F82*100</f>
        <v>14.363858523881031</v>
      </c>
      <c r="I82" s="106">
        <f t="shared" ref="I82:J84" si="99">I10+I34+I49+I63</f>
        <v>849.99999999999989</v>
      </c>
      <c r="J82" s="106">
        <f t="shared" si="99"/>
        <v>826.6</v>
      </c>
      <c r="K82" s="106">
        <f t="shared" ref="K82:K84" si="100">J82/I82*100</f>
        <v>97.247058823529429</v>
      </c>
      <c r="L82" s="106">
        <f t="shared" ref="L82:M84" si="101">L10+L34+L49+L63</f>
        <v>8876.4</v>
      </c>
      <c r="M82" s="106">
        <f t="shared" si="101"/>
        <v>8651.2000000000007</v>
      </c>
      <c r="N82" s="106">
        <f t="shared" ref="N82:N84" si="102">M82/L82*100</f>
        <v>97.462935424271109</v>
      </c>
      <c r="O82" s="106">
        <f t="shared" ref="O82:P84" si="103">O10+O34+O49+O63</f>
        <v>8999.7999999999993</v>
      </c>
      <c r="P82" s="106">
        <f t="shared" si="103"/>
        <v>8496.4</v>
      </c>
      <c r="Q82" s="106">
        <f t="shared" ref="Q82:Q84" si="104">P82/O82*100</f>
        <v>94.406542367608168</v>
      </c>
      <c r="R82" s="106">
        <f t="shared" ref="R82:S84" si="105">R10+R34+R49+R63</f>
        <v>10160.799999999999</v>
      </c>
      <c r="S82" s="106">
        <f t="shared" si="105"/>
        <v>0</v>
      </c>
      <c r="T82" s="106">
        <f t="shared" ref="T82:T84" si="106">S82/R82*100</f>
        <v>0</v>
      </c>
      <c r="U82" s="106">
        <f t="shared" ref="U82:AE84" si="107">U10+U34+U49+U63</f>
        <v>8653.3999999999978</v>
      </c>
      <c r="V82" s="106">
        <f t="shared" si="107"/>
        <v>0</v>
      </c>
      <c r="W82" s="106">
        <f t="shared" si="107"/>
        <v>0</v>
      </c>
      <c r="X82" s="106">
        <f t="shared" si="107"/>
        <v>10366.799999999999</v>
      </c>
      <c r="Y82" s="106">
        <f t="shared" si="107"/>
        <v>0</v>
      </c>
      <c r="Z82" s="106" t="e">
        <f t="shared" si="107"/>
        <v>#REF!</v>
      </c>
      <c r="AA82" s="106">
        <f t="shared" si="107"/>
        <v>11679.3</v>
      </c>
      <c r="AB82" s="106">
        <f t="shared" si="107"/>
        <v>0</v>
      </c>
      <c r="AC82" s="106" t="e">
        <f t="shared" si="107"/>
        <v>#REF!</v>
      </c>
      <c r="AD82" s="106">
        <f t="shared" si="107"/>
        <v>11285.099999999999</v>
      </c>
      <c r="AE82" s="106">
        <f t="shared" si="107"/>
        <v>0</v>
      </c>
      <c r="AF82" s="103">
        <f t="shared" si="96"/>
        <v>0</v>
      </c>
      <c r="AG82" s="106">
        <f t="shared" ref="AG82:AR84" si="108">AG10+AG34+AG49+AG63</f>
        <v>9471.7000000000007</v>
      </c>
      <c r="AH82" s="106">
        <f t="shared" si="108"/>
        <v>0</v>
      </c>
      <c r="AI82" s="106" t="e">
        <f t="shared" si="108"/>
        <v>#REF!</v>
      </c>
      <c r="AJ82" s="106">
        <f t="shared" si="108"/>
        <v>9999.1999999999989</v>
      </c>
      <c r="AK82" s="106">
        <f t="shared" si="108"/>
        <v>0</v>
      </c>
      <c r="AL82" s="106" t="e">
        <f t="shared" si="108"/>
        <v>#REF!</v>
      </c>
      <c r="AM82" s="106">
        <f t="shared" si="108"/>
        <v>8893.0999999999985</v>
      </c>
      <c r="AN82" s="106">
        <f t="shared" si="108"/>
        <v>0</v>
      </c>
      <c r="AO82" s="106" t="e">
        <f t="shared" si="108"/>
        <v>#REF!</v>
      </c>
      <c r="AP82" s="106">
        <f t="shared" si="108"/>
        <v>25899.299999999996</v>
      </c>
      <c r="AQ82" s="106">
        <f t="shared" si="108"/>
        <v>0</v>
      </c>
      <c r="AR82" s="106" t="e">
        <f t="shared" si="108"/>
        <v>#REF!</v>
      </c>
      <c r="AS82" s="310"/>
      <c r="AT82" s="383"/>
      <c r="AU82" s="121"/>
      <c r="AV82" s="127"/>
    </row>
    <row r="83" spans="1:48" s="100" customFormat="1" ht="24">
      <c r="A83" s="376"/>
      <c r="B83" s="377"/>
      <c r="C83" s="377"/>
      <c r="D83" s="378"/>
      <c r="E83" s="111" t="s">
        <v>44</v>
      </c>
      <c r="F83" s="106">
        <f t="shared" si="98"/>
        <v>302600.59999999998</v>
      </c>
      <c r="G83" s="106">
        <f t="shared" si="98"/>
        <v>68792.999999999985</v>
      </c>
      <c r="H83" s="106">
        <f>G83/F83*100</f>
        <v>22.733927163396235</v>
      </c>
      <c r="I83" s="106">
        <f t="shared" si="99"/>
        <v>12630.599999999999</v>
      </c>
      <c r="J83" s="106">
        <f t="shared" si="99"/>
        <v>24440.400000000001</v>
      </c>
      <c r="K83" s="106">
        <f t="shared" si="100"/>
        <v>193.50149636596839</v>
      </c>
      <c r="L83" s="106">
        <f t="shared" si="101"/>
        <v>33511.700000000004</v>
      </c>
      <c r="M83" s="106">
        <f t="shared" si="101"/>
        <v>24818.800000000003</v>
      </c>
      <c r="N83" s="106">
        <f t="shared" si="102"/>
        <v>74.060104381454835</v>
      </c>
      <c r="O83" s="106">
        <f t="shared" si="103"/>
        <v>27130</v>
      </c>
      <c r="P83" s="106">
        <f t="shared" si="103"/>
        <v>19533.8</v>
      </c>
      <c r="Q83" s="106">
        <f t="shared" si="104"/>
        <v>72.000737191301141</v>
      </c>
      <c r="R83" s="106">
        <f t="shared" si="105"/>
        <v>36205.199999999997</v>
      </c>
      <c r="S83" s="106">
        <f t="shared" si="105"/>
        <v>0</v>
      </c>
      <c r="T83" s="106">
        <f t="shared" si="106"/>
        <v>0</v>
      </c>
      <c r="U83" s="106">
        <f t="shared" si="107"/>
        <v>26449.299999999996</v>
      </c>
      <c r="V83" s="106">
        <f t="shared" si="107"/>
        <v>0</v>
      </c>
      <c r="W83" s="106">
        <f t="shared" si="107"/>
        <v>0</v>
      </c>
      <c r="X83" s="106">
        <f t="shared" si="107"/>
        <v>30719.199999999993</v>
      </c>
      <c r="Y83" s="106">
        <f t="shared" si="107"/>
        <v>0</v>
      </c>
      <c r="Z83" s="106" t="e">
        <f t="shared" si="107"/>
        <v>#REF!</v>
      </c>
      <c r="AA83" s="106">
        <f t="shared" si="107"/>
        <v>38309.699999999997</v>
      </c>
      <c r="AB83" s="106">
        <f t="shared" si="107"/>
        <v>0</v>
      </c>
      <c r="AC83" s="106" t="e">
        <f t="shared" si="107"/>
        <v>#REF!</v>
      </c>
      <c r="AD83" s="106">
        <f t="shared" si="107"/>
        <v>24785.899999999998</v>
      </c>
      <c r="AE83" s="106">
        <f t="shared" si="107"/>
        <v>0</v>
      </c>
      <c r="AF83" s="106">
        <f t="shared" si="96"/>
        <v>0</v>
      </c>
      <c r="AG83" s="106">
        <f t="shared" si="108"/>
        <v>17942.399999999998</v>
      </c>
      <c r="AH83" s="106">
        <f t="shared" si="108"/>
        <v>0</v>
      </c>
      <c r="AI83" s="106" t="e">
        <f t="shared" si="108"/>
        <v>#REF!</v>
      </c>
      <c r="AJ83" s="106">
        <f t="shared" si="108"/>
        <v>14413.7</v>
      </c>
      <c r="AK83" s="106">
        <f t="shared" si="108"/>
        <v>0</v>
      </c>
      <c r="AL83" s="106" t="e">
        <f t="shared" si="108"/>
        <v>#REF!</v>
      </c>
      <c r="AM83" s="106">
        <f t="shared" si="108"/>
        <v>16193.299999999997</v>
      </c>
      <c r="AN83" s="106">
        <f t="shared" si="108"/>
        <v>0</v>
      </c>
      <c r="AO83" s="106" t="e">
        <f t="shared" si="108"/>
        <v>#REF!</v>
      </c>
      <c r="AP83" s="106">
        <f t="shared" si="108"/>
        <v>24309.599999999995</v>
      </c>
      <c r="AQ83" s="106">
        <f t="shared" si="108"/>
        <v>0</v>
      </c>
      <c r="AR83" s="106" t="e">
        <f t="shared" si="108"/>
        <v>#REF!</v>
      </c>
      <c r="AS83" s="310"/>
      <c r="AT83" s="383"/>
      <c r="AU83" s="121"/>
      <c r="AV83" s="127"/>
    </row>
    <row r="84" spans="1:48" s="100" customFormat="1" ht="24">
      <c r="A84" s="379"/>
      <c r="B84" s="380"/>
      <c r="C84" s="380"/>
      <c r="D84" s="381"/>
      <c r="E84" s="110" t="s">
        <v>257</v>
      </c>
      <c r="F84" s="106">
        <f t="shared" si="98"/>
        <v>5832.0999999999995</v>
      </c>
      <c r="G84" s="106">
        <f t="shared" si="98"/>
        <v>805.9</v>
      </c>
      <c r="H84" s="106">
        <f>G84/F84*100</f>
        <v>13.818350165463556</v>
      </c>
      <c r="I84" s="106">
        <f t="shared" si="99"/>
        <v>261.8</v>
      </c>
      <c r="J84" s="106">
        <f t="shared" si="99"/>
        <v>0</v>
      </c>
      <c r="K84" s="106">
        <f t="shared" si="100"/>
        <v>0</v>
      </c>
      <c r="L84" s="106">
        <f t="shared" si="101"/>
        <v>336.5</v>
      </c>
      <c r="M84" s="106">
        <f t="shared" si="101"/>
        <v>221.6</v>
      </c>
      <c r="N84" s="106">
        <f t="shared" si="102"/>
        <v>65.854383358098062</v>
      </c>
      <c r="O84" s="106">
        <f t="shared" si="103"/>
        <v>726.3</v>
      </c>
      <c r="P84" s="106">
        <f t="shared" si="103"/>
        <v>584.29999999999995</v>
      </c>
      <c r="Q84" s="106">
        <f t="shared" si="104"/>
        <v>80.448850337326178</v>
      </c>
      <c r="R84" s="106">
        <f t="shared" si="105"/>
        <v>740.6</v>
      </c>
      <c r="S84" s="106">
        <f t="shared" si="105"/>
        <v>0</v>
      </c>
      <c r="T84" s="106">
        <f t="shared" si="106"/>
        <v>0</v>
      </c>
      <c r="U84" s="106">
        <f t="shared" si="107"/>
        <v>479.7</v>
      </c>
      <c r="V84" s="106">
        <f t="shared" si="107"/>
        <v>0</v>
      </c>
      <c r="W84" s="106">
        <f t="shared" si="107"/>
        <v>0</v>
      </c>
      <c r="X84" s="106">
        <f t="shared" si="107"/>
        <v>451.70000000000005</v>
      </c>
      <c r="Y84" s="106">
        <f t="shared" si="107"/>
        <v>0</v>
      </c>
      <c r="Z84" s="106" t="e">
        <f t="shared" si="107"/>
        <v>#REF!</v>
      </c>
      <c r="AA84" s="106">
        <f t="shared" si="107"/>
        <v>669.1</v>
      </c>
      <c r="AB84" s="106">
        <f t="shared" si="107"/>
        <v>0</v>
      </c>
      <c r="AC84" s="106" t="e">
        <f t="shared" si="107"/>
        <v>#REF!</v>
      </c>
      <c r="AD84" s="106">
        <f t="shared" si="107"/>
        <v>519</v>
      </c>
      <c r="AE84" s="106">
        <f t="shared" si="107"/>
        <v>0</v>
      </c>
      <c r="AF84" s="106">
        <f t="shared" si="96"/>
        <v>0</v>
      </c>
      <c r="AG84" s="106">
        <f t="shared" si="108"/>
        <v>301.60000000000002</v>
      </c>
      <c r="AH84" s="106">
        <f t="shared" si="108"/>
        <v>0</v>
      </c>
      <c r="AI84" s="106" t="e">
        <f t="shared" si="108"/>
        <v>#REF!</v>
      </c>
      <c r="AJ84" s="106">
        <f t="shared" si="108"/>
        <v>564.6</v>
      </c>
      <c r="AK84" s="106">
        <f t="shared" si="108"/>
        <v>0</v>
      </c>
      <c r="AL84" s="106" t="e">
        <f t="shared" si="108"/>
        <v>#REF!</v>
      </c>
      <c r="AM84" s="106">
        <f t="shared" si="108"/>
        <v>526.4</v>
      </c>
      <c r="AN84" s="106">
        <f t="shared" si="108"/>
        <v>0</v>
      </c>
      <c r="AO84" s="106" t="e">
        <f t="shared" si="108"/>
        <v>#REF!</v>
      </c>
      <c r="AP84" s="106">
        <f t="shared" si="108"/>
        <v>254.8</v>
      </c>
      <c r="AQ84" s="106">
        <f t="shared" si="108"/>
        <v>0</v>
      </c>
      <c r="AR84" s="106" t="e">
        <f t="shared" si="108"/>
        <v>#REF!</v>
      </c>
      <c r="AS84" s="311"/>
      <c r="AT84" s="384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85"/>
      <c r="C86" s="385"/>
      <c r="D86" s="385"/>
      <c r="E86" s="386"/>
      <c r="F86" s="387"/>
      <c r="G86" s="142"/>
      <c r="H86" s="41"/>
      <c r="I86" s="41">
        <f>I81+L81+O81</f>
        <v>93323.1</v>
      </c>
      <c r="J86" s="41">
        <f>R81+U81+X81</f>
        <v>124226.69999999998</v>
      </c>
      <c r="K86" s="41">
        <f>AA81+AD81+AG81</f>
        <v>114963.8</v>
      </c>
      <c r="L86" s="41">
        <f>AJ81+AM81+AP81</f>
        <v>101054</v>
      </c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72" t="s">
        <v>282</v>
      </c>
      <c r="B88" s="372"/>
      <c r="C88" s="372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72" t="s">
        <v>283</v>
      </c>
      <c r="B89" s="372"/>
      <c r="C89" s="372"/>
      <c r="D89" s="372"/>
      <c r="E89" s="372"/>
      <c r="F89" s="372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72"/>
      <c r="B90" s="372"/>
      <c r="C90" s="372"/>
      <c r="D90" s="372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72"/>
      <c r="B92" s="372"/>
      <c r="C92" s="372"/>
      <c r="D92" s="372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72" t="s">
        <v>404</v>
      </c>
      <c r="B96" s="372"/>
      <c r="C96" s="372"/>
      <c r="D96" s="372"/>
      <c r="AS96" s="131"/>
    </row>
    <row r="97" spans="1:45">
      <c r="A97" s="372" t="s">
        <v>291</v>
      </c>
      <c r="B97" s="372"/>
      <c r="C97" s="372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</mergeCells>
  <conditionalFormatting sqref="H91 H69:H80 H56:H59 H48:H51 H42:H45 H30:H31 H27:H28 H24">
    <cfRule type="cellIs" dxfId="1" priority="1" stopIfTrue="1" operator="notEqual">
      <formula>#REF!</formula>
    </cfRule>
  </conditionalFormatting>
  <pageMargins left="0.7" right="0.7" top="0.75" bottom="0.75" header="0.3" footer="0.3"/>
  <pageSetup paperSize="9" scale="40" orientation="landscape" r:id="rId1"/>
  <rowBreaks count="2" manualBreakCount="2">
    <brk id="52" max="45" man="1"/>
    <brk id="84" max="16383" man="1"/>
  </rowBreaks>
  <colBreaks count="1" manualBreakCount="1">
    <brk id="4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5"/>
  <sheetViews>
    <sheetView tabSelected="1" topLeftCell="AB44" workbookViewId="0">
      <selection activeCell="AR54" sqref="AR54"/>
    </sheetView>
  </sheetViews>
  <sheetFormatPr defaultColWidth="9.140625" defaultRowHeight="15"/>
  <cols>
    <col min="1" max="1" width="5.5703125" style="230" customWidth="1"/>
    <col min="2" max="3" width="23.7109375" style="230" customWidth="1"/>
    <col min="4" max="4" width="14.5703125" style="230" customWidth="1"/>
    <col min="5" max="5" width="10.85546875" style="230" customWidth="1"/>
    <col min="6" max="6" width="10.7109375" style="230" customWidth="1"/>
    <col min="7" max="7" width="9.140625" style="230"/>
    <col min="8" max="10" width="9.140625" style="230" customWidth="1"/>
    <col min="11" max="11" width="8.85546875" style="230" customWidth="1"/>
    <col min="12" max="12" width="9.140625" style="230" customWidth="1"/>
    <col min="13" max="13" width="10.42578125" style="230" customWidth="1"/>
    <col min="14" max="15" width="9.140625" style="230" customWidth="1"/>
    <col min="16" max="16" width="11.140625" style="230" customWidth="1"/>
    <col min="17" max="17" width="9.42578125" style="230" customWidth="1"/>
    <col min="18" max="18" width="9.140625" style="230" customWidth="1"/>
    <col min="19" max="19" width="11.140625" style="230" customWidth="1"/>
    <col min="20" max="21" width="9.140625" style="230" customWidth="1"/>
    <col min="22" max="22" width="10.85546875" style="230" customWidth="1"/>
    <col min="23" max="24" width="9.140625" style="230" customWidth="1"/>
    <col min="25" max="25" width="10.28515625" style="230" customWidth="1"/>
    <col min="26" max="29" width="10.42578125" style="230" customWidth="1"/>
    <col min="30" max="30" width="11" style="230" customWidth="1"/>
    <col min="31" max="31" width="10.42578125" style="230" customWidth="1"/>
    <col min="32" max="32" width="9.140625" style="230" customWidth="1"/>
    <col min="33" max="33" width="11.140625" style="230" customWidth="1"/>
    <col min="34" max="34" width="10.85546875" style="230" customWidth="1"/>
    <col min="35" max="35" width="9.42578125" style="230" customWidth="1"/>
    <col min="36" max="36" width="9.140625" style="230" customWidth="1"/>
    <col min="37" max="37" width="10.5703125" style="230" customWidth="1"/>
    <col min="38" max="40" width="9.140625" style="230" customWidth="1"/>
    <col min="41" max="41" width="9.140625" style="231" customWidth="1"/>
    <col min="42" max="42" width="10.42578125" style="230" customWidth="1"/>
    <col min="43" max="43" width="9.140625" style="230" customWidth="1"/>
    <col min="44" max="44" width="68.140625" style="214" customWidth="1"/>
    <col min="45" max="45" width="44.7109375" style="122" customWidth="1"/>
    <col min="46" max="49" width="9.140625" style="122" customWidth="1"/>
    <col min="50" max="16384" width="9.140625" style="122"/>
  </cols>
  <sheetData>
    <row r="1" spans="1:47" s="214" customForma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1"/>
      <c r="AP1" s="240"/>
      <c r="AQ1" s="240"/>
      <c r="AS1" s="242" t="s">
        <v>459</v>
      </c>
    </row>
    <row r="2" spans="1:47" s="214" customForma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1"/>
      <c r="AP2" s="240"/>
      <c r="AQ2" s="240"/>
      <c r="AS2" s="242" t="s">
        <v>460</v>
      </c>
    </row>
    <row r="3" spans="1:47" s="214" customForma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1"/>
      <c r="AP3" s="240"/>
      <c r="AQ3" s="240"/>
      <c r="AS3" s="242" t="s">
        <v>461</v>
      </c>
    </row>
    <row r="4" spans="1:47" s="214" customForma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1"/>
      <c r="AP4" s="240"/>
      <c r="AQ4" s="240"/>
    </row>
    <row r="5" spans="1:47" s="214" customForma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1"/>
      <c r="AP5" s="240"/>
      <c r="AQ5" s="240"/>
      <c r="AS5" s="242" t="s">
        <v>449</v>
      </c>
    </row>
    <row r="6" spans="1:47" s="214" customForma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1"/>
      <c r="AP6" s="240"/>
      <c r="AQ6" s="240"/>
    </row>
    <row r="7" spans="1:47" s="118" customFormat="1" ht="18.75">
      <c r="A7" s="476" t="s">
        <v>448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</row>
    <row r="8" spans="1:47" s="118" customFormat="1" ht="18.75">
      <c r="A8" s="476" t="s">
        <v>489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</row>
    <row r="9" spans="1:47" s="118" customFormat="1" ht="15.75">
      <c r="A9" s="477"/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238"/>
    </row>
    <row r="10" spans="1:47" s="31" customFormat="1" ht="12.75">
      <c r="A10" s="217"/>
      <c r="B10" s="215"/>
      <c r="C10" s="215"/>
      <c r="D10" s="216"/>
      <c r="E10" s="216"/>
      <c r="F10" s="216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8"/>
      <c r="AP10" s="218"/>
      <c r="AQ10" s="218"/>
      <c r="AR10" s="102"/>
    </row>
    <row r="11" spans="1:47" s="31" customFormat="1" ht="30" customHeight="1">
      <c r="A11" s="430" t="s">
        <v>0</v>
      </c>
      <c r="B11" s="430" t="s">
        <v>486</v>
      </c>
      <c r="C11" s="478" t="s">
        <v>487</v>
      </c>
      <c r="D11" s="430" t="s">
        <v>41</v>
      </c>
      <c r="E11" s="430" t="s">
        <v>488</v>
      </c>
      <c r="F11" s="430"/>
      <c r="G11" s="430"/>
      <c r="H11" s="430" t="s">
        <v>18</v>
      </c>
      <c r="I11" s="430"/>
      <c r="J11" s="430"/>
      <c r="K11" s="430" t="s">
        <v>19</v>
      </c>
      <c r="L11" s="430"/>
      <c r="M11" s="430"/>
      <c r="N11" s="430" t="s">
        <v>23</v>
      </c>
      <c r="O11" s="430"/>
      <c r="P11" s="430"/>
      <c r="Q11" s="430" t="s">
        <v>25</v>
      </c>
      <c r="R11" s="430"/>
      <c r="S11" s="430"/>
      <c r="T11" s="430" t="s">
        <v>26</v>
      </c>
      <c r="U11" s="430"/>
      <c r="V11" s="430"/>
      <c r="W11" s="430" t="s">
        <v>27</v>
      </c>
      <c r="X11" s="430"/>
      <c r="Y11" s="430"/>
      <c r="Z11" s="430" t="s">
        <v>29</v>
      </c>
      <c r="AA11" s="430"/>
      <c r="AB11" s="430"/>
      <c r="AC11" s="430" t="s">
        <v>30</v>
      </c>
      <c r="AD11" s="430"/>
      <c r="AE11" s="430"/>
      <c r="AF11" s="430" t="s">
        <v>31</v>
      </c>
      <c r="AG11" s="430"/>
      <c r="AH11" s="430"/>
      <c r="AI11" s="430" t="s">
        <v>33</v>
      </c>
      <c r="AJ11" s="430"/>
      <c r="AK11" s="430"/>
      <c r="AL11" s="430" t="s">
        <v>34</v>
      </c>
      <c r="AM11" s="430"/>
      <c r="AN11" s="430"/>
      <c r="AO11" s="430" t="s">
        <v>35</v>
      </c>
      <c r="AP11" s="430"/>
      <c r="AQ11" s="430"/>
      <c r="AR11" s="431" t="s">
        <v>273</v>
      </c>
      <c r="AS11" s="296" t="s">
        <v>274</v>
      </c>
      <c r="AT11" s="32"/>
      <c r="AU11" s="32"/>
    </row>
    <row r="12" spans="1:47" s="31" customFormat="1" ht="50.25" customHeight="1">
      <c r="A12" s="430"/>
      <c r="B12" s="430"/>
      <c r="C12" s="479"/>
      <c r="D12" s="430"/>
      <c r="E12" s="219" t="s">
        <v>264</v>
      </c>
      <c r="F12" s="219" t="s">
        <v>265</v>
      </c>
      <c r="G12" s="220" t="s">
        <v>266</v>
      </c>
      <c r="H12" s="219" t="s">
        <v>264</v>
      </c>
      <c r="I12" s="219" t="s">
        <v>265</v>
      </c>
      <c r="J12" s="220" t="s">
        <v>266</v>
      </c>
      <c r="K12" s="219" t="s">
        <v>264</v>
      </c>
      <c r="L12" s="219" t="s">
        <v>265</v>
      </c>
      <c r="M12" s="220" t="s">
        <v>266</v>
      </c>
      <c r="N12" s="219" t="s">
        <v>264</v>
      </c>
      <c r="O12" s="219" t="s">
        <v>265</v>
      </c>
      <c r="P12" s="220" t="s">
        <v>266</v>
      </c>
      <c r="Q12" s="219" t="s">
        <v>264</v>
      </c>
      <c r="R12" s="219" t="s">
        <v>265</v>
      </c>
      <c r="S12" s="220" t="s">
        <v>266</v>
      </c>
      <c r="T12" s="219" t="s">
        <v>264</v>
      </c>
      <c r="U12" s="219" t="s">
        <v>265</v>
      </c>
      <c r="V12" s="220" t="s">
        <v>266</v>
      </c>
      <c r="W12" s="219" t="s">
        <v>264</v>
      </c>
      <c r="X12" s="219" t="s">
        <v>265</v>
      </c>
      <c r="Y12" s="220" t="s">
        <v>266</v>
      </c>
      <c r="Z12" s="219" t="s">
        <v>264</v>
      </c>
      <c r="AA12" s="219" t="s">
        <v>265</v>
      </c>
      <c r="AB12" s="220" t="s">
        <v>266</v>
      </c>
      <c r="AC12" s="219" t="s">
        <v>264</v>
      </c>
      <c r="AD12" s="219" t="s">
        <v>265</v>
      </c>
      <c r="AE12" s="220" t="s">
        <v>266</v>
      </c>
      <c r="AF12" s="219" t="s">
        <v>264</v>
      </c>
      <c r="AG12" s="219" t="s">
        <v>265</v>
      </c>
      <c r="AH12" s="220" t="s">
        <v>266</v>
      </c>
      <c r="AI12" s="219" t="s">
        <v>264</v>
      </c>
      <c r="AJ12" s="219" t="s">
        <v>265</v>
      </c>
      <c r="AK12" s="220" t="s">
        <v>266</v>
      </c>
      <c r="AL12" s="219" t="s">
        <v>264</v>
      </c>
      <c r="AM12" s="219" t="s">
        <v>265</v>
      </c>
      <c r="AN12" s="220" t="s">
        <v>266</v>
      </c>
      <c r="AO12" s="219" t="s">
        <v>264</v>
      </c>
      <c r="AP12" s="219" t="s">
        <v>265</v>
      </c>
      <c r="AQ12" s="220" t="s">
        <v>266</v>
      </c>
      <c r="AR12" s="431"/>
      <c r="AS12" s="296"/>
    </row>
    <row r="13" spans="1:47" s="100" customFormat="1" ht="12.75" customHeight="1">
      <c r="A13" s="467" t="s">
        <v>464</v>
      </c>
      <c r="B13" s="470" t="s">
        <v>445</v>
      </c>
      <c r="C13" s="471"/>
      <c r="D13" s="221" t="s">
        <v>444</v>
      </c>
      <c r="E13" s="149">
        <f>E14+E15+E16</f>
        <v>394750.9</v>
      </c>
      <c r="F13" s="149">
        <f t="shared" ref="F13:AP13" si="0">F14+F15+F16</f>
        <v>391367.5</v>
      </c>
      <c r="G13" s="149">
        <f t="shared" ref="G13:G23" si="1">F13/E13*100</f>
        <v>99.142902524098105</v>
      </c>
      <c r="H13" s="149">
        <f t="shared" si="0"/>
        <v>7568.8</v>
      </c>
      <c r="I13" s="149">
        <f t="shared" si="0"/>
        <v>6610.5999999999995</v>
      </c>
      <c r="J13" s="149">
        <f>I13/H13*100</f>
        <v>87.34013317831095</v>
      </c>
      <c r="K13" s="149">
        <f t="shared" si="0"/>
        <v>28610.200000000004</v>
      </c>
      <c r="L13" s="149">
        <f t="shared" si="0"/>
        <v>27815.600000000006</v>
      </c>
      <c r="M13" s="149">
        <f>L13/K13*100</f>
        <v>97.222668838386312</v>
      </c>
      <c r="N13" s="149">
        <f t="shared" si="0"/>
        <v>48683.3</v>
      </c>
      <c r="O13" s="149">
        <f t="shared" si="0"/>
        <v>46828.899999999994</v>
      </c>
      <c r="P13" s="149">
        <f>O13/N13*100</f>
        <v>96.190890921527483</v>
      </c>
      <c r="Q13" s="149">
        <f t="shared" si="0"/>
        <v>35292.5</v>
      </c>
      <c r="R13" s="149">
        <f t="shared" si="0"/>
        <v>32606.699999999997</v>
      </c>
      <c r="S13" s="149">
        <f>R13/Q13*100</f>
        <v>92.389884536374581</v>
      </c>
      <c r="T13" s="149">
        <f t="shared" si="0"/>
        <v>32135.299999999996</v>
      </c>
      <c r="U13" s="149">
        <f t="shared" si="0"/>
        <v>31625.599999999999</v>
      </c>
      <c r="V13" s="149">
        <f>U13/T13*100</f>
        <v>98.413893755465182</v>
      </c>
      <c r="W13" s="149">
        <f t="shared" si="0"/>
        <v>39728.6</v>
      </c>
      <c r="X13" s="149">
        <f t="shared" si="0"/>
        <v>34494.100000000006</v>
      </c>
      <c r="Y13" s="149">
        <f>X13/W13*100</f>
        <v>86.824353236711104</v>
      </c>
      <c r="Z13" s="149">
        <f t="shared" si="0"/>
        <v>37629.399999999994</v>
      </c>
      <c r="AA13" s="149">
        <f t="shared" si="0"/>
        <v>36046.1</v>
      </c>
      <c r="AB13" s="149">
        <f t="shared" ref="AB13:AB25" si="2">AA13/Z13*100</f>
        <v>95.792385740936609</v>
      </c>
      <c r="AC13" s="149">
        <f t="shared" si="0"/>
        <v>31046.300000000003</v>
      </c>
      <c r="AD13" s="149">
        <f t="shared" si="0"/>
        <v>30387.8</v>
      </c>
      <c r="AE13" s="149">
        <f>AD13/AC13*100</f>
        <v>97.878974306116987</v>
      </c>
      <c r="AF13" s="149">
        <f t="shared" si="0"/>
        <v>32006.600000000006</v>
      </c>
      <c r="AG13" s="149">
        <f t="shared" si="0"/>
        <v>27815.999999999996</v>
      </c>
      <c r="AH13" s="149">
        <f>AG13/AF13*100</f>
        <v>86.907075415695488</v>
      </c>
      <c r="AI13" s="149">
        <f t="shared" si="0"/>
        <v>32422.599999999995</v>
      </c>
      <c r="AJ13" s="149">
        <f t="shared" si="0"/>
        <v>32434.999999999993</v>
      </c>
      <c r="AK13" s="149">
        <f t="shared" ref="AK13:AK15" si="3">AJ13/AI13*100</f>
        <v>100.03824492792064</v>
      </c>
      <c r="AL13" s="149">
        <f t="shared" si="0"/>
        <v>27372.2</v>
      </c>
      <c r="AM13" s="149">
        <f t="shared" si="0"/>
        <v>27918</v>
      </c>
      <c r="AN13" s="149">
        <f t="shared" ref="AN13:AN15" si="4">AM13/AL13*100</f>
        <v>101.99399390622604</v>
      </c>
      <c r="AO13" s="149">
        <f t="shared" si="0"/>
        <v>42255.099999999991</v>
      </c>
      <c r="AP13" s="149">
        <f t="shared" si="0"/>
        <v>56783.100000000006</v>
      </c>
      <c r="AQ13" s="149">
        <f t="shared" ref="AQ13:AQ15" si="5">AO13/AP13*100</f>
        <v>74.414922749902672</v>
      </c>
      <c r="AR13" s="309"/>
      <c r="AS13" s="350"/>
      <c r="AT13" s="127"/>
    </row>
    <row r="14" spans="1:47" s="100" customFormat="1" ht="48">
      <c r="A14" s="468"/>
      <c r="B14" s="472"/>
      <c r="C14" s="473"/>
      <c r="D14" s="222" t="s">
        <v>442</v>
      </c>
      <c r="E14" s="149">
        <f>E19+E24+E29+E34+E39+E45+E50</f>
        <v>84772.60000000002</v>
      </c>
      <c r="F14" s="149">
        <f>F19+F24+F29+F34+F39+F45+F50</f>
        <v>84682.000000000015</v>
      </c>
      <c r="G14" s="149">
        <f t="shared" si="1"/>
        <v>99.893125844907431</v>
      </c>
      <c r="H14" s="149">
        <f>H19+H24+H29+H34+H39+H45+H50</f>
        <v>566.4</v>
      </c>
      <c r="I14" s="149">
        <f>I19+I24+I29+I34+I39+I45+I50</f>
        <v>433.1</v>
      </c>
      <c r="J14" s="149">
        <f t="shared" ref="J14:J16" si="6">I14/H14*100</f>
        <v>76.465395480225993</v>
      </c>
      <c r="K14" s="149">
        <f>K19+K24+K29+K34+K39+K45+K50</f>
        <v>6583.9999999999991</v>
      </c>
      <c r="L14" s="149">
        <f>L19+L24+L29+L34+L39+L45+L50</f>
        <v>5927.4</v>
      </c>
      <c r="M14" s="149">
        <f t="shared" ref="M14:M16" si="7">L14/K14*100</f>
        <v>90.02733900364521</v>
      </c>
      <c r="N14" s="149">
        <f>N19+N24+N29+N34+N39+N45+N50</f>
        <v>8090.0999999999995</v>
      </c>
      <c r="O14" s="149">
        <f>O19+O24+O29+O34+O39+O45+O50</f>
        <v>7650.2000000000007</v>
      </c>
      <c r="P14" s="149">
        <f t="shared" ref="P14:P16" si="8">O14/N14*100</f>
        <v>94.562489956860873</v>
      </c>
      <c r="Q14" s="149">
        <f>Q19+Q24+Q29+Q34+Q39+Q45+Q50</f>
        <v>6023.6000000000013</v>
      </c>
      <c r="R14" s="149">
        <f>R19+R24+R29+R34+R39+R45+R50</f>
        <v>6444.3</v>
      </c>
      <c r="S14" s="149">
        <f t="shared" ref="S14:S16" si="9">R14/Q14*100</f>
        <v>106.984195497709</v>
      </c>
      <c r="T14" s="149">
        <f>T19+T24+T29+T34+T39+T45+T50</f>
        <v>6233.8</v>
      </c>
      <c r="U14" s="149">
        <f>U19+U24+U29+U34+U39+U45+U50</f>
        <v>6261.5999999999995</v>
      </c>
      <c r="V14" s="149">
        <f t="shared" ref="V14:V16" si="10">U14/T14*100</f>
        <v>100.44595591773877</v>
      </c>
      <c r="W14" s="149">
        <f>W19+W24+W29+W34+W39+W45+W50</f>
        <v>7490.800000000002</v>
      </c>
      <c r="X14" s="149">
        <f>X19+X24+X29+X34+X39+X45+X50</f>
        <v>7137.9000000000005</v>
      </c>
      <c r="Y14" s="149">
        <f t="shared" ref="Y14:Y16" si="11">X14/W14*100</f>
        <v>95.288887702248076</v>
      </c>
      <c r="Z14" s="149">
        <f>Z19+Z24+Z29+Z34+Z39+Z45+Z50</f>
        <v>8042.3999999999987</v>
      </c>
      <c r="AA14" s="149">
        <f>AA19+AA24+AA29+AA34+AA39</f>
        <v>7533.2</v>
      </c>
      <c r="AB14" s="149">
        <f t="shared" si="2"/>
        <v>93.668556649756312</v>
      </c>
      <c r="AC14" s="149">
        <f>AC19+AC24+AC29+AC34+AC39+AC45+AC50</f>
        <v>8892.6</v>
      </c>
      <c r="AD14" s="149">
        <f>AD19+AD24+AD29+AD34+AD39+AD45+AD50</f>
        <v>8399.1999999999989</v>
      </c>
      <c r="AE14" s="149">
        <f t="shared" ref="AE14:AE33" si="12">AD14/AC14*100</f>
        <v>94.451566470998344</v>
      </c>
      <c r="AF14" s="149">
        <f>AF19+AF24+AF29+AF34+AF39+AF45+AF50</f>
        <v>6615.9000000000015</v>
      </c>
      <c r="AG14" s="149">
        <f>AG19+AG24+AG29+AG34+AG39+AG45+AG50</f>
        <v>6303.3</v>
      </c>
      <c r="AH14" s="149">
        <f>AG14/AF14*100</f>
        <v>95.275019271754388</v>
      </c>
      <c r="AI14" s="149">
        <f>AI19+AI24+AI29+AI34+AI39+AI45+AI50</f>
        <v>6823.7999999999993</v>
      </c>
      <c r="AJ14" s="149">
        <f>AJ19+AJ24+AJ29+AJ34+AJ39</f>
        <v>6851.7999999999993</v>
      </c>
      <c r="AK14" s="149">
        <f t="shared" si="3"/>
        <v>100.41032855593657</v>
      </c>
      <c r="AL14" s="149">
        <f>AL19+AL24+AL29+AL34+AL39+AL45+AL50</f>
        <v>6549.9000000000005</v>
      </c>
      <c r="AM14" s="149">
        <f>AM19+AM24+AM29+AM34+AM39</f>
        <v>6706.1</v>
      </c>
      <c r="AN14" s="149">
        <f t="shared" si="4"/>
        <v>102.38476923311805</v>
      </c>
      <c r="AO14" s="149">
        <f>AO19+AO24+AO29+AO34+AO39+AO45+AO50</f>
        <v>12859.3</v>
      </c>
      <c r="AP14" s="149">
        <f>AP19+AP24+AP29+AP34+AP39</f>
        <v>15033.9</v>
      </c>
      <c r="AQ14" s="149">
        <f t="shared" si="5"/>
        <v>85.535356760388183</v>
      </c>
      <c r="AR14" s="310"/>
      <c r="AS14" s="351"/>
      <c r="AT14" s="127"/>
    </row>
    <row r="15" spans="1:47" s="100" customFormat="1" ht="24">
      <c r="A15" s="468"/>
      <c r="B15" s="472"/>
      <c r="C15" s="473"/>
      <c r="D15" s="222" t="s">
        <v>463</v>
      </c>
      <c r="E15" s="149">
        <f>E20+E25+E30+E35+E40</f>
        <v>301466.5</v>
      </c>
      <c r="F15" s="149">
        <f>F20+F25+F30+F35+F40</f>
        <v>298173.7</v>
      </c>
      <c r="G15" s="149">
        <f t="shared" si="1"/>
        <v>98.907739334221219</v>
      </c>
      <c r="H15" s="149">
        <f>H20+H25+H30+H35+H40</f>
        <v>6946.2000000000007</v>
      </c>
      <c r="I15" s="149">
        <f>I20+I25+I30+I35+I40</f>
        <v>6121.2999999999993</v>
      </c>
      <c r="J15" s="149">
        <f t="shared" si="6"/>
        <v>88.124442141026719</v>
      </c>
      <c r="K15" s="149">
        <f>K20+K25+K30+K35+K40</f>
        <v>21693.800000000003</v>
      </c>
      <c r="L15" s="149">
        <f>L20+L25+L30+L35+L40</f>
        <v>21555.800000000003</v>
      </c>
      <c r="M15" s="149">
        <f t="shared" si="7"/>
        <v>99.363873549124634</v>
      </c>
      <c r="N15" s="149">
        <f>N20+N25+N30+N35+N40</f>
        <v>39567.000000000007</v>
      </c>
      <c r="O15" s="149">
        <f>O20+O25+O30+O35+O40</f>
        <v>38278.199999999997</v>
      </c>
      <c r="P15" s="149">
        <f t="shared" si="8"/>
        <v>96.742740162256396</v>
      </c>
      <c r="Q15" s="149">
        <f>Q20+Q25+Q30+Q35+Q40</f>
        <v>28622.399999999998</v>
      </c>
      <c r="R15" s="149">
        <f>R20+R25+R30+R35+R40</f>
        <v>25515.899999999998</v>
      </c>
      <c r="S15" s="149">
        <f t="shared" si="9"/>
        <v>89.146612443400969</v>
      </c>
      <c r="T15" s="149">
        <f>T20+T25+T30+T35+T40</f>
        <v>25250.199999999997</v>
      </c>
      <c r="U15" s="149">
        <f>U20+U25+U30+U35+U40</f>
        <v>24696.6</v>
      </c>
      <c r="V15" s="149">
        <f t="shared" si="10"/>
        <v>97.807542118478281</v>
      </c>
      <c r="W15" s="149">
        <f>W20+W25+W30+W35+W40</f>
        <v>31872.299999999996</v>
      </c>
      <c r="X15" s="149">
        <f>X20+X25+X30+X35+X40</f>
        <v>26981.300000000003</v>
      </c>
      <c r="Y15" s="149">
        <f t="shared" si="11"/>
        <v>84.654386410770499</v>
      </c>
      <c r="Z15" s="149">
        <f>Z20+Z25+Z30+Z35+Z40</f>
        <v>29232.399999999998</v>
      </c>
      <c r="AA15" s="149">
        <f>AA20+AA25+AA30+AA35+AA40</f>
        <v>28158.300000000003</v>
      </c>
      <c r="AB15" s="149">
        <f t="shared" si="2"/>
        <v>96.325652358342126</v>
      </c>
      <c r="AC15" s="149">
        <f>AC20+AC25+AC30+AC35+AC40</f>
        <v>21512.800000000003</v>
      </c>
      <c r="AD15" s="149">
        <f>AD20+AD25+AD30+AD35+AD40</f>
        <v>21344.9</v>
      </c>
      <c r="AE15" s="149">
        <f t="shared" si="12"/>
        <v>99.219534416719341</v>
      </c>
      <c r="AF15" s="149">
        <f>AF20+AF25+AF30+AF35+AF40</f>
        <v>25018.800000000003</v>
      </c>
      <c r="AG15" s="149">
        <f>AG20+AG25+AG30+AG35+AG40</f>
        <v>21143.1</v>
      </c>
      <c r="AH15" s="149">
        <f>AG15/AF15*100</f>
        <v>84.508849345292319</v>
      </c>
      <c r="AI15" s="149">
        <f>AI20+AI25+AI30+AI35+AI40</f>
        <v>25195.199999999997</v>
      </c>
      <c r="AJ15" s="149">
        <f>AJ20+AJ25+AJ30+AJ35+AJ40</f>
        <v>25179.599999999995</v>
      </c>
      <c r="AK15" s="149">
        <f t="shared" si="3"/>
        <v>99.938083444465605</v>
      </c>
      <c r="AL15" s="149">
        <f>AL20+AL25+AL30+AL35+AL40</f>
        <v>20481.3</v>
      </c>
      <c r="AM15" s="149">
        <f>AM20+AM25+AM30+AM35+AM40</f>
        <v>20870.899999999998</v>
      </c>
      <c r="AN15" s="149">
        <f t="shared" si="4"/>
        <v>101.90222300342262</v>
      </c>
      <c r="AO15" s="149">
        <f>AO20+AO25+AO30+AO35+AO40</f>
        <v>26074.1</v>
      </c>
      <c r="AP15" s="149">
        <f>AP20+AP25+AP30+AP35+AP40</f>
        <v>38327.800000000003</v>
      </c>
      <c r="AQ15" s="149">
        <f t="shared" si="5"/>
        <v>68.02921117309107</v>
      </c>
      <c r="AR15" s="310"/>
      <c r="AS15" s="351"/>
      <c r="AT15" s="127"/>
    </row>
    <row r="16" spans="1:47" s="100" customFormat="1" ht="24">
      <c r="A16" s="468"/>
      <c r="B16" s="472"/>
      <c r="C16" s="473"/>
      <c r="D16" s="223" t="s">
        <v>257</v>
      </c>
      <c r="E16" s="149">
        <f>E21+E26+E36+E47+E52</f>
        <v>8511.7999999999993</v>
      </c>
      <c r="F16" s="149">
        <f>F21+F26+F36+F47+F52</f>
        <v>8511.8000000000011</v>
      </c>
      <c r="G16" s="149">
        <f t="shared" si="1"/>
        <v>100.00000000000003</v>
      </c>
      <c r="H16" s="149">
        <f>H21+H26+H36+H47+H52</f>
        <v>56.2</v>
      </c>
      <c r="I16" s="149">
        <f>I21+I26+I36+I47+I52</f>
        <v>56.2</v>
      </c>
      <c r="J16" s="149">
        <f t="shared" si="6"/>
        <v>100</v>
      </c>
      <c r="K16" s="149">
        <f>K21+K26+K36+K47+K52</f>
        <v>332.4</v>
      </c>
      <c r="L16" s="149">
        <f>L21+L26+L36+L47+L52</f>
        <v>332.4</v>
      </c>
      <c r="M16" s="149">
        <f t="shared" si="7"/>
        <v>100</v>
      </c>
      <c r="N16" s="149">
        <f>N21+N26+N36+N47+N52</f>
        <v>1026.2</v>
      </c>
      <c r="O16" s="149">
        <f>O21+O26+O36+O47+O52</f>
        <v>900.5</v>
      </c>
      <c r="P16" s="149">
        <f t="shared" si="8"/>
        <v>87.750925745468706</v>
      </c>
      <c r="Q16" s="149">
        <f>Q21+Q26+Q36+Q47+Q52</f>
        <v>646.5</v>
      </c>
      <c r="R16" s="149">
        <f>R21+R26+R36+R47+R52</f>
        <v>646.5</v>
      </c>
      <c r="S16" s="149">
        <f t="shared" si="9"/>
        <v>100</v>
      </c>
      <c r="T16" s="149">
        <f>T21+T26+T36+T47+T52</f>
        <v>651.30000000000007</v>
      </c>
      <c r="U16" s="149">
        <f>U21+U26+U36+U47+U52</f>
        <v>667.4</v>
      </c>
      <c r="V16" s="149">
        <f t="shared" si="10"/>
        <v>102.47197911868568</v>
      </c>
      <c r="W16" s="149">
        <f>W21+W26+W36+W47+W52</f>
        <v>365.5</v>
      </c>
      <c r="X16" s="149">
        <f>X21+X26+X36+X47+X52</f>
        <v>374.9</v>
      </c>
      <c r="Y16" s="149">
        <f t="shared" si="11"/>
        <v>102.5718194254446</v>
      </c>
      <c r="Z16" s="149">
        <f>Z21+Z26+Z36+Z47+Z52</f>
        <v>354.6</v>
      </c>
      <c r="AA16" s="149">
        <f>AA21+AA26+AA36</f>
        <v>354.6</v>
      </c>
      <c r="AB16" s="149">
        <f t="shared" si="2"/>
        <v>100</v>
      </c>
      <c r="AC16" s="149">
        <f>AC21+AC26+AC36+AC47+AC52</f>
        <v>640.9</v>
      </c>
      <c r="AD16" s="149">
        <f>AD21+AD26+AD36</f>
        <v>643.70000000000005</v>
      </c>
      <c r="AE16" s="149">
        <f t="shared" si="12"/>
        <v>100.43688562958341</v>
      </c>
      <c r="AF16" s="149">
        <f>AF21+AF26+AF36+AF47+AF52</f>
        <v>371.9</v>
      </c>
      <c r="AG16" s="149">
        <f>AG21+AG26+AG36</f>
        <v>369.6</v>
      </c>
      <c r="AH16" s="149">
        <f>AG16/AF16*100</f>
        <v>99.381554181231522</v>
      </c>
      <c r="AI16" s="149">
        <f>AI21+AI26+AI36+AI47+AI52</f>
        <v>403.6</v>
      </c>
      <c r="AJ16" s="149">
        <f>AJ21+AJ26+AJ36</f>
        <v>403.6</v>
      </c>
      <c r="AK16" s="149">
        <f>AJ16/AI16*100</f>
        <v>100</v>
      </c>
      <c r="AL16" s="149">
        <f>AL21+AL26+AL36+AL47+AL52</f>
        <v>341</v>
      </c>
      <c r="AM16" s="149">
        <f>AM21+AM26+AM36</f>
        <v>341</v>
      </c>
      <c r="AN16" s="149">
        <f>AM16/AL16*100</f>
        <v>100</v>
      </c>
      <c r="AO16" s="149">
        <f>AO21+AO26+AO36+AO47+AO52</f>
        <v>3321.7</v>
      </c>
      <c r="AP16" s="149">
        <f>AP21+AP26+AP36</f>
        <v>3421.4</v>
      </c>
      <c r="AQ16" s="149">
        <f>AO16/AP16*100</f>
        <v>97.085988191968198</v>
      </c>
      <c r="AR16" s="310"/>
      <c r="AS16" s="351"/>
      <c r="AT16" s="127"/>
    </row>
    <row r="17" spans="1:48" s="100" customFormat="1" ht="33" customHeight="1">
      <c r="A17" s="469"/>
      <c r="B17" s="474"/>
      <c r="C17" s="475"/>
      <c r="D17" s="223" t="s">
        <v>469</v>
      </c>
      <c r="E17" s="149">
        <f>H17+K17+N17+Q17+T17+W17+Z17+AC17+AF17+AI17+AL17+AO17</f>
        <v>0</v>
      </c>
      <c r="F17" s="149">
        <f>I17+L17+O17+R17+U17+X17+AA17+AD17+AG17+AJ17+AM17+AP17</f>
        <v>0</v>
      </c>
      <c r="G17" s="149">
        <v>0</v>
      </c>
      <c r="H17" s="149">
        <v>0</v>
      </c>
      <c r="I17" s="149">
        <v>0</v>
      </c>
      <c r="J17" s="149">
        <v>0</v>
      </c>
      <c r="K17" s="243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244">
        <v>0</v>
      </c>
      <c r="U17" s="244">
        <v>0</v>
      </c>
      <c r="V17" s="149">
        <v>0</v>
      </c>
      <c r="W17" s="244">
        <v>0</v>
      </c>
      <c r="X17" s="244">
        <v>0</v>
      </c>
      <c r="Y17" s="244">
        <v>0</v>
      </c>
      <c r="Z17" s="244">
        <v>0</v>
      </c>
      <c r="AA17" s="244">
        <v>0</v>
      </c>
      <c r="AB17" s="244">
        <v>0</v>
      </c>
      <c r="AC17" s="244">
        <v>0</v>
      </c>
      <c r="AD17" s="244">
        <v>0</v>
      </c>
      <c r="AE17" s="244">
        <v>0</v>
      </c>
      <c r="AF17" s="244">
        <v>0</v>
      </c>
      <c r="AG17" s="244">
        <v>0</v>
      </c>
      <c r="AH17" s="149">
        <v>0</v>
      </c>
      <c r="AI17" s="149">
        <v>0</v>
      </c>
      <c r="AJ17" s="149">
        <v>0</v>
      </c>
      <c r="AK17" s="149">
        <v>0</v>
      </c>
      <c r="AL17" s="244">
        <v>0</v>
      </c>
      <c r="AM17" s="244">
        <v>0</v>
      </c>
      <c r="AN17" s="244">
        <v>0</v>
      </c>
      <c r="AO17" s="149">
        <v>0</v>
      </c>
      <c r="AP17" s="149">
        <v>0</v>
      </c>
      <c r="AQ17" s="149">
        <v>0</v>
      </c>
      <c r="AR17" s="311"/>
      <c r="AS17" s="352"/>
      <c r="AT17" s="127"/>
    </row>
    <row r="18" spans="1:48" s="31" customFormat="1" ht="122.25" customHeight="1">
      <c r="A18" s="453" t="s">
        <v>2</v>
      </c>
      <c r="B18" s="318" t="s">
        <v>470</v>
      </c>
      <c r="C18" s="321" t="s">
        <v>450</v>
      </c>
      <c r="D18" s="224" t="s">
        <v>444</v>
      </c>
      <c r="E18" s="123">
        <f>SUM(E19:E21)</f>
        <v>288746.90000000002</v>
      </c>
      <c r="F18" s="123">
        <f t="shared" ref="F18:O18" si="13">SUM(F19:F21)</f>
        <v>286998.90000000002</v>
      </c>
      <c r="G18" s="123">
        <f t="shared" si="1"/>
        <v>99.39462553537372</v>
      </c>
      <c r="H18" s="123">
        <f t="shared" si="13"/>
        <v>5357.2999999999993</v>
      </c>
      <c r="I18" s="123">
        <f t="shared" si="13"/>
        <v>4931.7</v>
      </c>
      <c r="J18" s="123">
        <f>I18/H18*100</f>
        <v>92.055699699475497</v>
      </c>
      <c r="K18" s="123">
        <f t="shared" si="13"/>
        <v>20881.2</v>
      </c>
      <c r="L18" s="123">
        <f t="shared" si="13"/>
        <v>20232.900000000001</v>
      </c>
      <c r="M18" s="123">
        <f>L18/K18*100</f>
        <v>96.895293373944028</v>
      </c>
      <c r="N18" s="123">
        <f t="shared" si="13"/>
        <v>40927</v>
      </c>
      <c r="O18" s="123">
        <f t="shared" si="13"/>
        <v>39573.699999999997</v>
      </c>
      <c r="P18" s="123">
        <f>O18/N18*100</f>
        <v>96.693380897695889</v>
      </c>
      <c r="Q18" s="123">
        <f t="shared" ref="Q18:AP18" si="14">SUM(Q19:Q21)</f>
        <v>24948.300000000003</v>
      </c>
      <c r="R18" s="123">
        <f t="shared" si="14"/>
        <v>22591.8</v>
      </c>
      <c r="S18" s="123">
        <f>R18/Q18*100</f>
        <v>90.554466637005319</v>
      </c>
      <c r="T18" s="123">
        <f t="shared" si="14"/>
        <v>23027.999999999996</v>
      </c>
      <c r="U18" s="123">
        <f t="shared" si="14"/>
        <v>22731.599999999999</v>
      </c>
      <c r="V18" s="123">
        <f>U18/T18*100</f>
        <v>98.712871287128721</v>
      </c>
      <c r="W18" s="123">
        <f t="shared" si="14"/>
        <v>29410.7</v>
      </c>
      <c r="X18" s="123">
        <f t="shared" si="14"/>
        <v>25616.9</v>
      </c>
      <c r="Y18" s="123">
        <f t="shared" si="14"/>
        <v>285.26855871319151</v>
      </c>
      <c r="Z18" s="123">
        <f t="shared" si="14"/>
        <v>28286.299999999996</v>
      </c>
      <c r="AA18" s="123">
        <f t="shared" si="14"/>
        <v>27021.599999999999</v>
      </c>
      <c r="AB18" s="117">
        <f t="shared" si="2"/>
        <v>95.528930966581001</v>
      </c>
      <c r="AC18" s="123">
        <f t="shared" si="14"/>
        <v>23644</v>
      </c>
      <c r="AD18" s="123">
        <f t="shared" si="14"/>
        <v>23360.3</v>
      </c>
      <c r="AE18" s="123">
        <f t="shared" si="12"/>
        <v>98.800118423278633</v>
      </c>
      <c r="AF18" s="123">
        <f t="shared" si="14"/>
        <v>21818.5</v>
      </c>
      <c r="AG18" s="123">
        <f t="shared" si="14"/>
        <v>18487.399999999998</v>
      </c>
      <c r="AH18" s="123">
        <f t="shared" ref="AH18:AH25" si="15">AG18/AF18*100</f>
        <v>84.732680981735669</v>
      </c>
      <c r="AI18" s="123">
        <f t="shared" si="14"/>
        <v>22605.899999999998</v>
      </c>
      <c r="AJ18" s="123">
        <f t="shared" si="14"/>
        <v>22605.899999999998</v>
      </c>
      <c r="AK18" s="249">
        <f>AJ18/AI18*100</f>
        <v>100</v>
      </c>
      <c r="AL18" s="123">
        <f t="shared" si="14"/>
        <v>18709.2</v>
      </c>
      <c r="AM18" s="123">
        <f t="shared" si="14"/>
        <v>18709.2</v>
      </c>
      <c r="AN18" s="249">
        <f>AM18/AL18*100</f>
        <v>100</v>
      </c>
      <c r="AO18" s="123">
        <f t="shared" si="14"/>
        <v>29130.5</v>
      </c>
      <c r="AP18" s="123">
        <f t="shared" si="14"/>
        <v>41135.9</v>
      </c>
      <c r="AQ18" s="123">
        <f>AP18/AO18*100</f>
        <v>141.21247489744425</v>
      </c>
      <c r="AR18" s="427" t="s">
        <v>519</v>
      </c>
      <c r="AS18" s="464" t="s">
        <v>509</v>
      </c>
      <c r="AT18" s="121"/>
      <c r="AU18" s="121"/>
      <c r="AV18" s="155"/>
    </row>
    <row r="19" spans="1:48" s="31" customFormat="1" ht="169.5" customHeight="1">
      <c r="A19" s="454"/>
      <c r="B19" s="319"/>
      <c r="C19" s="322"/>
      <c r="D19" s="225" t="s">
        <v>442</v>
      </c>
      <c r="E19" s="123">
        <f>H19+K19+N19+Q19+T19+W19+Z19+AC19+AF19+AI19+AL19+AO19</f>
        <v>82042.300000000017</v>
      </c>
      <c r="F19" s="123">
        <f>I19+L19+O19+R19+U19+X19+AA19+AD19+AG19+AJ19+AM19+AP19</f>
        <v>81966.000000000015</v>
      </c>
      <c r="G19" s="123">
        <f t="shared" si="1"/>
        <v>99.906999194318047</v>
      </c>
      <c r="H19" s="123">
        <f>24.8+46.2+10.4+485</f>
        <v>566.4</v>
      </c>
      <c r="I19" s="123">
        <v>433.1</v>
      </c>
      <c r="J19" s="123">
        <f>I19/H19*100</f>
        <v>76.465395480225993</v>
      </c>
      <c r="K19" s="123">
        <f>91.7+5+5350+7.4+993.9+91</f>
        <v>6538.9999999999991</v>
      </c>
      <c r="L19" s="123">
        <v>5927.4</v>
      </c>
      <c r="M19" s="123">
        <f>L19/K19*100</f>
        <v>90.646887903349139</v>
      </c>
      <c r="N19" s="123">
        <f>117.7+5+110.5+5350+3.3+2022.9+91.9+342.3-6.1-216+153.6</f>
        <v>7975.0999999999995</v>
      </c>
      <c r="O19" s="123">
        <v>7588.6</v>
      </c>
      <c r="P19" s="123">
        <f>O19/N19*100</f>
        <v>95.153665784755063</v>
      </c>
      <c r="Q19" s="123">
        <f>233.3+5+5350+13.3+1977.8+61.6-930+6.1+100-884.8</f>
        <v>5932.3000000000011</v>
      </c>
      <c r="R19" s="123">
        <v>6353</v>
      </c>
      <c r="S19" s="123">
        <f>R19/Q19*100</f>
        <v>107.09168450685229</v>
      </c>
      <c r="T19" s="226">
        <f>108.2+5+5350+8+1088.3+61.6-300+100-98-100</f>
        <v>6223.1</v>
      </c>
      <c r="U19" s="226">
        <v>6250.9</v>
      </c>
      <c r="V19" s="117">
        <f t="shared" ref="V19:V20" si="16">U19/T19*100</f>
        <v>100.446722694477</v>
      </c>
      <c r="W19" s="117">
        <f>67+19.8+5+154+837.2+5350+843.6+4+1233.6+61.6-191.8-1257.7-0.1+16-100</f>
        <v>7042.2000000000016</v>
      </c>
      <c r="X19" s="117">
        <v>7040.3</v>
      </c>
      <c r="Y19" s="117">
        <f t="shared" ref="Y19:Y20" si="17">X19/W19*100</f>
        <v>99.973019794950417</v>
      </c>
      <c r="Z19" s="123">
        <f>187.5+5+5350+6.9+2038.2+34.9-110.6-39.5</f>
        <v>7472.3999999999987</v>
      </c>
      <c r="AA19" s="123">
        <v>6976.5</v>
      </c>
      <c r="AB19" s="117">
        <f t="shared" si="2"/>
        <v>93.363577966918271</v>
      </c>
      <c r="AC19" s="226">
        <f>224.2+5+5350+1968.4+12.8+1630.8+34.9-0.1-580.3-300</f>
        <v>8345.7000000000007</v>
      </c>
      <c r="AD19" s="226">
        <v>7917.4</v>
      </c>
      <c r="AE19" s="117">
        <f t="shared" si="12"/>
        <v>94.868015864457135</v>
      </c>
      <c r="AF19" s="226">
        <f>151.9+5+12.6+108.1+5350+5.9+981.8+35.1+1.3+0.1-661</f>
        <v>5990.8000000000011</v>
      </c>
      <c r="AG19" s="226">
        <v>5711</v>
      </c>
      <c r="AH19" s="123">
        <f t="shared" si="15"/>
        <v>95.329505241370086</v>
      </c>
      <c r="AI19" s="226">
        <v>6687.4</v>
      </c>
      <c r="AJ19" s="226">
        <v>6687.4</v>
      </c>
      <c r="AK19" s="249">
        <f>AJ19/AI19*100</f>
        <v>100</v>
      </c>
      <c r="AL19" s="226">
        <v>6408.6</v>
      </c>
      <c r="AM19" s="226">
        <v>6408.6</v>
      </c>
      <c r="AN19" s="249">
        <f>AM19/AL19*100</f>
        <v>100</v>
      </c>
      <c r="AO19" s="226">
        <v>12859.3</v>
      </c>
      <c r="AP19" s="226">
        <v>14671.8</v>
      </c>
      <c r="AQ19" s="123">
        <f>AP19/AO19*100</f>
        <v>114.09485741836647</v>
      </c>
      <c r="AR19" s="428"/>
      <c r="AS19" s="465"/>
      <c r="AT19" s="121"/>
      <c r="AU19" s="121"/>
      <c r="AV19" s="155"/>
    </row>
    <row r="20" spans="1:48" s="31" customFormat="1" ht="125.25" customHeight="1">
      <c r="A20" s="454"/>
      <c r="B20" s="319"/>
      <c r="C20" s="322"/>
      <c r="D20" s="225" t="s">
        <v>462</v>
      </c>
      <c r="E20" s="123">
        <f t="shared" ref="E20:F21" si="18">H20+K20+N20+Q20+T20+W20+Z20+AC20+AF20+AI20+AL20+AO20</f>
        <v>198192.80000000002</v>
      </c>
      <c r="F20" s="123">
        <f t="shared" si="18"/>
        <v>196521.1</v>
      </c>
      <c r="G20" s="123">
        <f t="shared" si="1"/>
        <v>99.156528390536891</v>
      </c>
      <c r="H20" s="123">
        <f>4569.1+385.2-219.6</f>
        <v>4734.7</v>
      </c>
      <c r="I20" s="123">
        <v>4442.3999999999996</v>
      </c>
      <c r="J20" s="123">
        <f>I20/H20*100</f>
        <v>93.826430396857248</v>
      </c>
      <c r="K20" s="123">
        <f>13463.9+1545.9+1000-2000</f>
        <v>14009.8</v>
      </c>
      <c r="L20" s="123">
        <v>13973.1</v>
      </c>
      <c r="M20" s="123">
        <f t="shared" ref="M20:M28" si="19">L20/K20*100</f>
        <v>99.738040514497001</v>
      </c>
      <c r="N20" s="123">
        <f>24234+3235+1528.4-0.1+928.4+2000</f>
        <v>31925.700000000004</v>
      </c>
      <c r="O20" s="123">
        <v>31084.6</v>
      </c>
      <c r="P20" s="123">
        <f t="shared" ref="P20:P28" si="20">O20/N20*100</f>
        <v>97.365445393523061</v>
      </c>
      <c r="Q20" s="123">
        <f>16830.3+2342.5+1660-2091.2-216-156.1</f>
        <v>18369.5</v>
      </c>
      <c r="R20" s="123">
        <v>15592.3</v>
      </c>
      <c r="S20" s="123">
        <f t="shared" ref="S20:S28" si="21">R20/Q20*100</f>
        <v>84.881461117613426</v>
      </c>
      <c r="T20" s="226">
        <f>293+11655.3+1886.9+1000+293+25.4+1000</f>
        <v>16153.599999999999</v>
      </c>
      <c r="U20" s="226">
        <v>15813.3</v>
      </c>
      <c r="V20" s="117">
        <f t="shared" si="16"/>
        <v>97.893348851030112</v>
      </c>
      <c r="W20" s="226">
        <f>17733.8+2680.1+2000-723-0.1+312.2</f>
        <v>22003</v>
      </c>
      <c r="X20" s="226">
        <v>18201.7</v>
      </c>
      <c r="Y20" s="117">
        <f t="shared" si="17"/>
        <v>82.723719492796448</v>
      </c>
      <c r="Z20" s="226">
        <f>17733.8+2725.5</f>
        <v>20459.3</v>
      </c>
      <c r="AA20" s="226">
        <v>19690.5</v>
      </c>
      <c r="AB20" s="117">
        <f t="shared" si="2"/>
        <v>96.24229567971534</v>
      </c>
      <c r="AC20" s="226">
        <f>11444.3+1263.2+946.1+3.8+1000</f>
        <v>14657.4</v>
      </c>
      <c r="AD20" s="226">
        <v>14799.2</v>
      </c>
      <c r="AE20" s="117">
        <f t="shared" si="12"/>
        <v>100.9674294213162</v>
      </c>
      <c r="AF20" s="226">
        <f>14375.8+1845.7-114.5-25.4+1586.9+0.1-1000-1212.8</f>
        <v>15455.8</v>
      </c>
      <c r="AG20" s="117">
        <v>12406.8</v>
      </c>
      <c r="AH20" s="123">
        <f t="shared" si="15"/>
        <v>80.272777856856322</v>
      </c>
      <c r="AI20" s="123">
        <v>15514.9</v>
      </c>
      <c r="AJ20" s="123">
        <v>15514.9</v>
      </c>
      <c r="AK20" s="123">
        <f>AJ20/AI20*100</f>
        <v>100</v>
      </c>
      <c r="AL20" s="226">
        <v>11959.6</v>
      </c>
      <c r="AM20" s="117">
        <v>11959.6</v>
      </c>
      <c r="AN20" s="117">
        <f>AM20/AL20*100</f>
        <v>100</v>
      </c>
      <c r="AO20" s="123">
        <v>12949.5</v>
      </c>
      <c r="AP20" s="123">
        <v>23042.7</v>
      </c>
      <c r="AQ20" s="123">
        <f>AP20/AO20*100</f>
        <v>177.94277771342524</v>
      </c>
      <c r="AR20" s="428"/>
      <c r="AS20" s="465"/>
      <c r="AT20" s="121"/>
      <c r="AU20" s="121"/>
      <c r="AV20" s="155"/>
    </row>
    <row r="21" spans="1:48" s="31" customFormat="1" ht="146.25" customHeight="1">
      <c r="A21" s="454"/>
      <c r="B21" s="319"/>
      <c r="C21" s="322"/>
      <c r="D21" s="143" t="s">
        <v>257</v>
      </c>
      <c r="E21" s="123">
        <f t="shared" si="18"/>
        <v>8511.7999999999993</v>
      </c>
      <c r="F21" s="123">
        <f t="shared" si="18"/>
        <v>8511.8000000000011</v>
      </c>
      <c r="G21" s="123">
        <f t="shared" si="1"/>
        <v>100.00000000000003</v>
      </c>
      <c r="H21" s="123">
        <v>56.2</v>
      </c>
      <c r="I21" s="123">
        <v>56.2</v>
      </c>
      <c r="J21" s="123">
        <f>I21/H21*100</f>
        <v>100</v>
      </c>
      <c r="K21" s="123">
        <v>332.4</v>
      </c>
      <c r="L21" s="123">
        <v>332.4</v>
      </c>
      <c r="M21" s="123">
        <f t="shared" si="19"/>
        <v>100</v>
      </c>
      <c r="N21" s="123">
        <f>884.7+154.4-12.9</f>
        <v>1026.2</v>
      </c>
      <c r="O21" s="123">
        <v>900.5</v>
      </c>
      <c r="P21" s="123">
        <f t="shared" si="20"/>
        <v>87.750925745468706</v>
      </c>
      <c r="Q21" s="123">
        <v>646.5</v>
      </c>
      <c r="R21" s="123">
        <v>646.5</v>
      </c>
      <c r="S21" s="123">
        <f>R21/Q21*100</f>
        <v>100</v>
      </c>
      <c r="T21" s="117">
        <f>657.6-48.8+62-19.5</f>
        <v>651.30000000000007</v>
      </c>
      <c r="U21" s="117">
        <v>667.4</v>
      </c>
      <c r="V21" s="117">
        <f>U21/T21*100</f>
        <v>102.47197911868568</v>
      </c>
      <c r="W21" s="117">
        <f>286.3+101.2-15+3-10</f>
        <v>365.5</v>
      </c>
      <c r="X21" s="117">
        <v>374.9</v>
      </c>
      <c r="Y21" s="117">
        <f>X21/W21*100</f>
        <v>102.5718194254446</v>
      </c>
      <c r="Z21" s="123">
        <f>316+38.6</f>
        <v>354.6</v>
      </c>
      <c r="AA21" s="123">
        <v>354.6</v>
      </c>
      <c r="AB21" s="117">
        <f t="shared" si="2"/>
        <v>100</v>
      </c>
      <c r="AC21" s="117">
        <f>9.8+595.5-33.4+77-2-5-1</f>
        <v>640.9</v>
      </c>
      <c r="AD21" s="117">
        <v>643.70000000000005</v>
      </c>
      <c r="AE21" s="117">
        <f t="shared" si="12"/>
        <v>100.43688562958341</v>
      </c>
      <c r="AF21" s="117">
        <f>330.7+45.2-10+7-1</f>
        <v>371.9</v>
      </c>
      <c r="AG21" s="117">
        <v>369.6</v>
      </c>
      <c r="AH21" s="123">
        <f t="shared" si="15"/>
        <v>99.381554181231522</v>
      </c>
      <c r="AI21" s="123">
        <v>403.6</v>
      </c>
      <c r="AJ21" s="123">
        <v>403.6</v>
      </c>
      <c r="AK21" s="123">
        <f>AJ21/AI21*100</f>
        <v>100</v>
      </c>
      <c r="AL21" s="117">
        <v>341</v>
      </c>
      <c r="AM21" s="117">
        <v>341</v>
      </c>
      <c r="AN21" s="117">
        <f>AM21/AL21*100</f>
        <v>100</v>
      </c>
      <c r="AO21" s="117">
        <v>3321.7</v>
      </c>
      <c r="AP21" s="123">
        <v>3421.4</v>
      </c>
      <c r="AQ21" s="123">
        <f>AP21/AO21*100</f>
        <v>103.00147514826745</v>
      </c>
      <c r="AR21" s="428"/>
      <c r="AS21" s="465"/>
      <c r="AT21" s="121"/>
      <c r="AU21" s="121"/>
      <c r="AV21" s="155"/>
    </row>
    <row r="22" spans="1:48" s="31" customFormat="1" ht="146.25" customHeight="1">
      <c r="A22" s="455"/>
      <c r="B22" s="320"/>
      <c r="C22" s="323"/>
      <c r="D22" s="143" t="s">
        <v>469</v>
      </c>
      <c r="E22" s="123">
        <f>H22+K22+N22+Q22+T22+W22+Z22+AC22+AF22+AI22+AL22+AO22</f>
        <v>0</v>
      </c>
      <c r="F22" s="123">
        <f>I22+L22+O22+R22+U22+X22+AA22+AD22+AG22+AJ22+AM22+AP22</f>
        <v>0</v>
      </c>
      <c r="G22" s="123">
        <v>0</v>
      </c>
      <c r="H22" s="123">
        <v>0</v>
      </c>
      <c r="I22" s="123">
        <v>0</v>
      </c>
      <c r="J22" s="123">
        <v>0</v>
      </c>
      <c r="K22" s="150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17">
        <v>0</v>
      </c>
      <c r="U22" s="117">
        <v>0</v>
      </c>
      <c r="V22" s="123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23">
        <v>0</v>
      </c>
      <c r="AI22" s="123">
        <v>0</v>
      </c>
      <c r="AJ22" s="123">
        <v>0</v>
      </c>
      <c r="AK22" s="123">
        <v>0</v>
      </c>
      <c r="AL22" s="117">
        <v>0</v>
      </c>
      <c r="AM22" s="117">
        <v>0</v>
      </c>
      <c r="AN22" s="117">
        <v>0</v>
      </c>
      <c r="AO22" s="123">
        <v>0</v>
      </c>
      <c r="AP22" s="123">
        <v>0</v>
      </c>
      <c r="AQ22" s="123">
        <v>0</v>
      </c>
      <c r="AR22" s="429"/>
      <c r="AS22" s="466"/>
      <c r="AT22" s="121"/>
      <c r="AU22" s="121"/>
      <c r="AV22" s="155"/>
    </row>
    <row r="23" spans="1:48" s="31" customFormat="1" ht="28.5" customHeight="1">
      <c r="A23" s="453" t="s">
        <v>4</v>
      </c>
      <c r="B23" s="321" t="s">
        <v>471</v>
      </c>
      <c r="C23" s="321" t="s">
        <v>329</v>
      </c>
      <c r="D23" s="224" t="s">
        <v>444</v>
      </c>
      <c r="E23" s="123">
        <f>SUM(E24:E26)</f>
        <v>86436.6</v>
      </c>
      <c r="F23" s="123">
        <f t="shared" ref="F23:O23" si="22">SUM(F24:F26)</f>
        <v>85541</v>
      </c>
      <c r="G23" s="123">
        <f t="shared" si="1"/>
        <v>98.963864844290498</v>
      </c>
      <c r="H23" s="123">
        <f t="shared" si="22"/>
        <v>1869.4</v>
      </c>
      <c r="I23" s="123">
        <f t="shared" si="22"/>
        <v>1344.9</v>
      </c>
      <c r="J23" s="123">
        <f>I23/H23*100</f>
        <v>71.942869369851294</v>
      </c>
      <c r="K23" s="123">
        <f t="shared" si="22"/>
        <v>7109.6</v>
      </c>
      <c r="L23" s="123">
        <f t="shared" si="22"/>
        <v>7016.4</v>
      </c>
      <c r="M23" s="123">
        <f t="shared" si="19"/>
        <v>98.689096432992002</v>
      </c>
      <c r="N23" s="123">
        <f t="shared" si="22"/>
        <v>6536.5</v>
      </c>
      <c r="O23" s="123">
        <f t="shared" si="22"/>
        <v>6456.3</v>
      </c>
      <c r="P23" s="123">
        <f t="shared" si="20"/>
        <v>98.773043677809227</v>
      </c>
      <c r="Q23" s="123">
        <f t="shared" ref="Q23:AA23" si="23">SUM(Q24:Q26)</f>
        <v>7632</v>
      </c>
      <c r="R23" s="123">
        <f t="shared" si="23"/>
        <v>7390.1</v>
      </c>
      <c r="S23" s="123">
        <f t="shared" si="21"/>
        <v>96.830450733752627</v>
      </c>
      <c r="T23" s="123">
        <f t="shared" si="23"/>
        <v>8015.1</v>
      </c>
      <c r="U23" s="123">
        <f t="shared" si="23"/>
        <v>7816.9</v>
      </c>
      <c r="V23" s="123">
        <f t="shared" ref="V23:V25" si="24">U23/T23*100</f>
        <v>97.527167471397718</v>
      </c>
      <c r="W23" s="123">
        <f t="shared" si="23"/>
        <v>8137.1</v>
      </c>
      <c r="X23" s="123">
        <f t="shared" si="23"/>
        <v>7779.6</v>
      </c>
      <c r="Y23" s="123">
        <f>X23/W23*100</f>
        <v>95.606542871539006</v>
      </c>
      <c r="Z23" s="123">
        <f t="shared" si="23"/>
        <v>7595.5</v>
      </c>
      <c r="AA23" s="123">
        <f t="shared" si="23"/>
        <v>7268.9</v>
      </c>
      <c r="AB23" s="117">
        <f t="shared" si="2"/>
        <v>95.700085576986368</v>
      </c>
      <c r="AC23" s="123">
        <f t="shared" ref="AC23:AP23" si="25">SUM(AC24:AC26)</f>
        <v>5882.5</v>
      </c>
      <c r="AD23" s="123">
        <f t="shared" si="25"/>
        <v>5637.4</v>
      </c>
      <c r="AE23" s="123">
        <f t="shared" si="12"/>
        <v>95.833404164895882</v>
      </c>
      <c r="AF23" s="123">
        <f t="shared" si="25"/>
        <v>6962.6000000000013</v>
      </c>
      <c r="AG23" s="123">
        <f t="shared" si="25"/>
        <v>6223.2</v>
      </c>
      <c r="AH23" s="123">
        <f t="shared" si="15"/>
        <v>89.380403872116716</v>
      </c>
      <c r="AI23" s="123">
        <f t="shared" si="25"/>
        <v>8263.2000000000007</v>
      </c>
      <c r="AJ23" s="123">
        <f t="shared" si="25"/>
        <v>8263.2000000000007</v>
      </c>
      <c r="AK23" s="123">
        <f t="shared" ref="AK23" si="26">AJ23/AI23*100</f>
        <v>100</v>
      </c>
      <c r="AL23" s="123">
        <f t="shared" si="25"/>
        <v>7631.3</v>
      </c>
      <c r="AM23" s="123">
        <f t="shared" si="25"/>
        <v>7631.3</v>
      </c>
      <c r="AN23" s="117">
        <f t="shared" ref="AN23" si="27">AM23/AL23*100</f>
        <v>100</v>
      </c>
      <c r="AO23" s="123">
        <f t="shared" si="25"/>
        <v>10801.8</v>
      </c>
      <c r="AP23" s="123">
        <f t="shared" si="25"/>
        <v>12712.8</v>
      </c>
      <c r="AQ23" s="123">
        <f t="shared" ref="AQ23" si="28">AP23/AO23*100</f>
        <v>117.6914958618008</v>
      </c>
      <c r="AR23" s="450" t="s">
        <v>520</v>
      </c>
      <c r="AS23" s="388" t="s">
        <v>510</v>
      </c>
      <c r="AT23" s="121"/>
      <c r="AU23" s="121"/>
      <c r="AV23" s="155"/>
    </row>
    <row r="24" spans="1:48" s="31" customFormat="1" ht="48">
      <c r="A24" s="454"/>
      <c r="B24" s="322"/>
      <c r="C24" s="322"/>
      <c r="D24" s="225" t="s">
        <v>442</v>
      </c>
      <c r="E24" s="123">
        <f>H24+K24+N24+Q24+T24+W24+Z24+AC24+AF24+AI24+AL24+AO24</f>
        <v>0</v>
      </c>
      <c r="F24" s="123">
        <f>I24+L24+O24+R24+U24+X24+AA24+AD24+AG24+AJ24+AM24+AP24</f>
        <v>0</v>
      </c>
      <c r="G24" s="123">
        <v>0</v>
      </c>
      <c r="H24" s="123">
        <v>0</v>
      </c>
      <c r="I24" s="123">
        <v>0</v>
      </c>
      <c r="J24" s="123">
        <v>0</v>
      </c>
      <c r="K24" s="150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17">
        <v>0</v>
      </c>
      <c r="U24" s="117">
        <v>0</v>
      </c>
      <c r="V24" s="123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23">
        <v>0</v>
      </c>
      <c r="AI24" s="123">
        <v>0</v>
      </c>
      <c r="AJ24" s="123">
        <v>0</v>
      </c>
      <c r="AK24" s="123">
        <v>0</v>
      </c>
      <c r="AL24" s="117">
        <v>0</v>
      </c>
      <c r="AM24" s="117">
        <v>0</v>
      </c>
      <c r="AN24" s="117">
        <v>0</v>
      </c>
      <c r="AO24" s="123">
        <v>0</v>
      </c>
      <c r="AP24" s="123">
        <v>0</v>
      </c>
      <c r="AQ24" s="123">
        <v>0</v>
      </c>
      <c r="AR24" s="451"/>
      <c r="AS24" s="389"/>
      <c r="AT24" s="121"/>
      <c r="AU24" s="121"/>
      <c r="AV24" s="155"/>
    </row>
    <row r="25" spans="1:48" s="31" customFormat="1" ht="26.25" customHeight="1">
      <c r="A25" s="454"/>
      <c r="B25" s="322"/>
      <c r="C25" s="322"/>
      <c r="D25" s="225" t="s">
        <v>462</v>
      </c>
      <c r="E25" s="123">
        <f t="shared" ref="E25:F26" si="29">H25+K25+N25+Q25+T25+W25+Z25+AC25+AF25+AI25+AL25+AO25</f>
        <v>86436.6</v>
      </c>
      <c r="F25" s="123">
        <f t="shared" si="29"/>
        <v>85541</v>
      </c>
      <c r="G25" s="123">
        <f>F25/E25*100</f>
        <v>98.963864844290498</v>
      </c>
      <c r="H25" s="123">
        <f>2949.4-1080</f>
        <v>1869.4</v>
      </c>
      <c r="I25" s="123">
        <v>1344.9</v>
      </c>
      <c r="J25" s="123">
        <f t="shared" ref="J25" si="30">I25/H25*100</f>
        <v>71.942869369851294</v>
      </c>
      <c r="K25" s="123">
        <f>8609.6-1500</f>
        <v>7109.6</v>
      </c>
      <c r="L25" s="123">
        <v>7016.4</v>
      </c>
      <c r="M25" s="123">
        <f t="shared" ref="M25" si="31">L25/K25*100</f>
        <v>98.689096432992002</v>
      </c>
      <c r="N25" s="123">
        <f>7950.7-1400-14.2</f>
        <v>6536.5</v>
      </c>
      <c r="O25" s="123">
        <v>6456.3</v>
      </c>
      <c r="P25" s="123">
        <f t="shared" si="20"/>
        <v>98.773043677809227</v>
      </c>
      <c r="Q25" s="123">
        <f>7752.5-120.5</f>
        <v>7632</v>
      </c>
      <c r="R25" s="123">
        <v>7390.1</v>
      </c>
      <c r="S25" s="123">
        <f t="shared" ref="S25" si="32">R25/Q25*100</f>
        <v>96.830450733752627</v>
      </c>
      <c r="T25" s="226">
        <f>6693+322.1+1000</f>
        <v>8015.1</v>
      </c>
      <c r="U25" s="226">
        <v>7816.9</v>
      </c>
      <c r="V25" s="123">
        <f t="shared" si="24"/>
        <v>97.527167471397718</v>
      </c>
      <c r="W25" s="226">
        <f>7996.2+2390+69.9-2319</f>
        <v>8137.1</v>
      </c>
      <c r="X25" s="226">
        <v>7779.6</v>
      </c>
      <c r="Y25" s="123">
        <f>X25/W25*100</f>
        <v>95.606542871539006</v>
      </c>
      <c r="Z25" s="123">
        <f>6683.4+1000-87.9</f>
        <v>7595.5</v>
      </c>
      <c r="AA25" s="123">
        <v>7268.9</v>
      </c>
      <c r="AB25" s="117">
        <f t="shared" si="2"/>
        <v>95.700085576986368</v>
      </c>
      <c r="AC25" s="226">
        <f>5860.9+515.5+2506.1-3000</f>
        <v>5882.5</v>
      </c>
      <c r="AD25" s="226">
        <v>5637.4</v>
      </c>
      <c r="AE25" s="117">
        <f t="shared" si="12"/>
        <v>95.833404164895882</v>
      </c>
      <c r="AF25" s="226">
        <f>6794.7+1590-69.9-1000-352.2</f>
        <v>6962.6000000000013</v>
      </c>
      <c r="AG25" s="117">
        <v>6223.2</v>
      </c>
      <c r="AH25" s="123">
        <f t="shared" si="15"/>
        <v>89.380403872116716</v>
      </c>
      <c r="AI25" s="123">
        <v>8263.2000000000007</v>
      </c>
      <c r="AJ25" s="123">
        <v>8263.2000000000007</v>
      </c>
      <c r="AK25" s="123">
        <f>AJ25/AI25*100</f>
        <v>100</v>
      </c>
      <c r="AL25" s="226">
        <v>7631.3</v>
      </c>
      <c r="AM25" s="226">
        <v>7631.3</v>
      </c>
      <c r="AN25" s="117">
        <f>AM25/AL25*100</f>
        <v>100</v>
      </c>
      <c r="AO25" s="226">
        <v>10801.8</v>
      </c>
      <c r="AP25" s="123">
        <v>12712.8</v>
      </c>
      <c r="AQ25" s="123">
        <f>AP25/AO25*100</f>
        <v>117.6914958618008</v>
      </c>
      <c r="AR25" s="451"/>
      <c r="AS25" s="389"/>
      <c r="AT25" s="121"/>
      <c r="AU25" s="121"/>
      <c r="AV25" s="155"/>
    </row>
    <row r="26" spans="1:48" s="31" customFormat="1" ht="30" customHeight="1">
      <c r="A26" s="454"/>
      <c r="B26" s="322"/>
      <c r="C26" s="322"/>
      <c r="D26" s="143" t="s">
        <v>257</v>
      </c>
      <c r="E26" s="123">
        <f t="shared" si="29"/>
        <v>0</v>
      </c>
      <c r="F26" s="123">
        <f t="shared" si="29"/>
        <v>0</v>
      </c>
      <c r="G26" s="123">
        <v>0</v>
      </c>
      <c r="H26" s="123">
        <v>0</v>
      </c>
      <c r="I26" s="123">
        <v>0</v>
      </c>
      <c r="J26" s="123">
        <v>0</v>
      </c>
      <c r="K26" s="150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17">
        <v>0</v>
      </c>
      <c r="U26" s="117">
        <v>0</v>
      </c>
      <c r="V26" s="123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23">
        <v>0</v>
      </c>
      <c r="AJ26" s="123">
        <v>0</v>
      </c>
      <c r="AK26" s="123">
        <v>0</v>
      </c>
      <c r="AL26" s="117">
        <v>0</v>
      </c>
      <c r="AM26" s="117">
        <v>0</v>
      </c>
      <c r="AN26" s="117">
        <v>0</v>
      </c>
      <c r="AO26" s="123">
        <v>0</v>
      </c>
      <c r="AP26" s="123">
        <v>0</v>
      </c>
      <c r="AQ26" s="123">
        <v>0</v>
      </c>
      <c r="AR26" s="451"/>
      <c r="AS26" s="389"/>
      <c r="AT26" s="121"/>
      <c r="AU26" s="121"/>
      <c r="AV26" s="155"/>
    </row>
    <row r="27" spans="1:48" s="31" customFormat="1" ht="27.75" customHeight="1">
      <c r="A27" s="455"/>
      <c r="B27" s="323"/>
      <c r="C27" s="323"/>
      <c r="D27" s="143" t="s">
        <v>469</v>
      </c>
      <c r="E27" s="123">
        <f>H27+K27+N27+Q27+T27+W27+Z27+AC27+AF27+AI27+AL27+AO27</f>
        <v>0</v>
      </c>
      <c r="F27" s="123">
        <f>I27+L27+O27+R27+U27+X27+AA27+AD27+AG27+AJ27+AM27+AP27</f>
        <v>0</v>
      </c>
      <c r="G27" s="123">
        <v>0</v>
      </c>
      <c r="H27" s="123">
        <v>0</v>
      </c>
      <c r="I27" s="123">
        <v>0</v>
      </c>
      <c r="J27" s="123">
        <v>0</v>
      </c>
      <c r="K27" s="150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17">
        <v>0</v>
      </c>
      <c r="U27" s="117">
        <v>0</v>
      </c>
      <c r="V27" s="123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23">
        <v>0</v>
      </c>
      <c r="AI27" s="123">
        <v>0</v>
      </c>
      <c r="AJ27" s="123">
        <v>0</v>
      </c>
      <c r="AK27" s="123">
        <v>0</v>
      </c>
      <c r="AL27" s="117">
        <v>0</v>
      </c>
      <c r="AM27" s="117">
        <v>0</v>
      </c>
      <c r="AN27" s="117">
        <v>0</v>
      </c>
      <c r="AO27" s="123">
        <v>0</v>
      </c>
      <c r="AP27" s="123">
        <v>0</v>
      </c>
      <c r="AQ27" s="123">
        <v>0</v>
      </c>
      <c r="AR27" s="452"/>
      <c r="AS27" s="390"/>
      <c r="AT27" s="121"/>
      <c r="AU27" s="121"/>
      <c r="AV27" s="155"/>
    </row>
    <row r="28" spans="1:48" s="31" customFormat="1" ht="12.75" customHeight="1">
      <c r="A28" s="453" t="s">
        <v>465</v>
      </c>
      <c r="B28" s="321" t="s">
        <v>472</v>
      </c>
      <c r="C28" s="321" t="s">
        <v>268</v>
      </c>
      <c r="D28" s="224" t="s">
        <v>444</v>
      </c>
      <c r="E28" s="123">
        <f>SUM(E29:E30)</f>
        <v>3860.5</v>
      </c>
      <c r="F28" s="123">
        <f>SUM(F29:F30)</f>
        <v>3859</v>
      </c>
      <c r="G28" s="123">
        <f>F28/E28*100</f>
        <v>99.961144929413294</v>
      </c>
      <c r="H28" s="123">
        <f>SUM(H29:H30)</f>
        <v>330</v>
      </c>
      <c r="I28" s="123">
        <f>SUM(I29:I30)</f>
        <v>321.89999999999998</v>
      </c>
      <c r="J28" s="123">
        <f t="shared" ref="J28:J33" si="33">I28/H28*100</f>
        <v>97.545454545454533</v>
      </c>
      <c r="K28" s="123">
        <f>SUM(K29:K30)</f>
        <v>330</v>
      </c>
      <c r="L28" s="123">
        <f>SUM(L29:L30)</f>
        <v>321.89999999999998</v>
      </c>
      <c r="M28" s="123">
        <f t="shared" si="19"/>
        <v>97.545454545454533</v>
      </c>
      <c r="N28" s="123">
        <f>SUM(N29:N30)</f>
        <v>330</v>
      </c>
      <c r="O28" s="123">
        <f>SUM(O29:O30)</f>
        <v>322</v>
      </c>
      <c r="P28" s="123">
        <f t="shared" si="20"/>
        <v>97.575757575757578</v>
      </c>
      <c r="Q28" s="123">
        <f>SUM(Q29:Q30)</f>
        <v>330</v>
      </c>
      <c r="R28" s="123">
        <f>SUM(R29:R30)</f>
        <v>322.60000000000002</v>
      </c>
      <c r="S28" s="123">
        <f t="shared" si="21"/>
        <v>97.757575757575765</v>
      </c>
      <c r="T28" s="123">
        <f>SUM(T29:T30)</f>
        <v>330</v>
      </c>
      <c r="U28" s="123">
        <f>SUM(U29:U30)</f>
        <v>321.89999999999998</v>
      </c>
      <c r="V28" s="123">
        <f t="shared" ref="V28:V30" si="34">U28/T28*100</f>
        <v>97.545454545454533</v>
      </c>
      <c r="W28" s="123">
        <f t="shared" ref="W28:AD28" si="35">SUM(W29:W30)</f>
        <v>330</v>
      </c>
      <c r="X28" s="123">
        <f t="shared" si="35"/>
        <v>317</v>
      </c>
      <c r="Y28" s="123">
        <f t="shared" si="35"/>
        <v>96.060606060606062</v>
      </c>
      <c r="Z28" s="123">
        <f t="shared" si="35"/>
        <v>330</v>
      </c>
      <c r="AA28" s="123">
        <f t="shared" si="35"/>
        <v>316.89999999999998</v>
      </c>
      <c r="AB28" s="117">
        <f t="shared" ref="AB28:AB35" si="36">AA28/Z28*100</f>
        <v>96.030303030303017</v>
      </c>
      <c r="AC28" s="123">
        <f t="shared" si="35"/>
        <v>330</v>
      </c>
      <c r="AD28" s="123">
        <f t="shared" si="35"/>
        <v>302.39999999999998</v>
      </c>
      <c r="AE28" s="123">
        <f t="shared" si="12"/>
        <v>91.636363636363626</v>
      </c>
      <c r="AF28" s="123">
        <f t="shared" ref="AF28:AQ28" si="37">SUM(AF29:AF30)</f>
        <v>330</v>
      </c>
      <c r="AG28" s="123">
        <f t="shared" si="37"/>
        <v>315.10000000000002</v>
      </c>
      <c r="AH28" s="123">
        <f t="shared" ref="AH28" si="38">AG28/AF28*100</f>
        <v>95.484848484848499</v>
      </c>
      <c r="AI28" s="123">
        <f t="shared" si="37"/>
        <v>311.8</v>
      </c>
      <c r="AJ28" s="123">
        <f t="shared" si="37"/>
        <v>325.10000000000002</v>
      </c>
      <c r="AK28" s="123">
        <f t="shared" si="37"/>
        <v>104.26555484284799</v>
      </c>
      <c r="AL28" s="123">
        <f t="shared" si="37"/>
        <v>284.60000000000002</v>
      </c>
      <c r="AM28" s="123">
        <f t="shared" si="37"/>
        <v>284.60000000000002</v>
      </c>
      <c r="AN28" s="123">
        <f t="shared" si="37"/>
        <v>100</v>
      </c>
      <c r="AO28" s="123">
        <f t="shared" si="37"/>
        <v>294.10000000000002</v>
      </c>
      <c r="AP28" s="123">
        <f t="shared" si="37"/>
        <v>387.6</v>
      </c>
      <c r="AQ28" s="123">
        <f t="shared" si="37"/>
        <v>131.79190751445086</v>
      </c>
      <c r="AR28" s="369" t="s">
        <v>518</v>
      </c>
      <c r="AS28" s="329"/>
      <c r="AT28" s="121"/>
      <c r="AU28" s="121"/>
      <c r="AV28" s="155"/>
    </row>
    <row r="29" spans="1:48" s="31" customFormat="1" ht="54.75" customHeight="1">
      <c r="A29" s="454"/>
      <c r="B29" s="322"/>
      <c r="C29" s="322"/>
      <c r="D29" s="225" t="s">
        <v>442</v>
      </c>
      <c r="E29" s="123">
        <f>H29+K29+N29+Q29+T29+W29+Z29+AC29+AF29+AI29+AL29+AO29</f>
        <v>0</v>
      </c>
      <c r="F29" s="123">
        <f>I29+L29+O29+R29+U29+X29+AA29+AD29+AG29+AJ29+AM29+AP29</f>
        <v>0</v>
      </c>
      <c r="G29" s="123">
        <v>0</v>
      </c>
      <c r="H29" s="123">
        <v>0</v>
      </c>
      <c r="I29" s="123">
        <v>0</v>
      </c>
      <c r="J29" s="123">
        <v>0</v>
      </c>
      <c r="K29" s="150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17">
        <v>0</v>
      </c>
      <c r="U29" s="117">
        <v>0</v>
      </c>
      <c r="V29" s="123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23">
        <v>0</v>
      </c>
      <c r="AJ29" s="123">
        <v>0</v>
      </c>
      <c r="AK29" s="123">
        <v>0</v>
      </c>
      <c r="AL29" s="117">
        <v>0</v>
      </c>
      <c r="AM29" s="117">
        <v>0</v>
      </c>
      <c r="AN29" s="117">
        <v>0</v>
      </c>
      <c r="AO29" s="123">
        <v>0</v>
      </c>
      <c r="AP29" s="123">
        <v>0</v>
      </c>
      <c r="AQ29" s="123">
        <v>0</v>
      </c>
      <c r="AR29" s="370"/>
      <c r="AS29" s="330"/>
      <c r="AT29" s="121"/>
      <c r="AU29" s="121"/>
      <c r="AV29" s="155"/>
    </row>
    <row r="30" spans="1:48" s="31" customFormat="1" ht="12.75">
      <c r="A30" s="454"/>
      <c r="B30" s="322"/>
      <c r="C30" s="322"/>
      <c r="D30" s="225" t="s">
        <v>462</v>
      </c>
      <c r="E30" s="123">
        <f t="shared" ref="E30:F31" si="39">H30+K30+N30+Q30+T30+W30+Z30+AC30+AF30+AI30+AL30+AO30</f>
        <v>3860.5</v>
      </c>
      <c r="F30" s="123">
        <f t="shared" si="39"/>
        <v>3859</v>
      </c>
      <c r="G30" s="123">
        <f>F30/E30*100</f>
        <v>99.961144929413294</v>
      </c>
      <c r="H30" s="123">
        <v>330</v>
      </c>
      <c r="I30" s="123">
        <v>321.89999999999998</v>
      </c>
      <c r="J30" s="123">
        <f t="shared" si="33"/>
        <v>97.545454545454533</v>
      </c>
      <c r="K30" s="123">
        <v>330</v>
      </c>
      <c r="L30" s="123">
        <v>321.89999999999998</v>
      </c>
      <c r="M30" s="123">
        <f t="shared" ref="M30:M34" si="40">L30/K30*100</f>
        <v>97.545454545454533</v>
      </c>
      <c r="N30" s="123">
        <v>330</v>
      </c>
      <c r="O30" s="123">
        <v>322</v>
      </c>
      <c r="P30" s="123">
        <f t="shared" ref="P30:P34" si="41">O30/N30*100</f>
        <v>97.575757575757578</v>
      </c>
      <c r="Q30" s="123">
        <v>330</v>
      </c>
      <c r="R30" s="123">
        <v>322.60000000000002</v>
      </c>
      <c r="S30" s="123">
        <f t="shared" ref="S30:S34" si="42">R30/Q30*100</f>
        <v>97.757575757575765</v>
      </c>
      <c r="T30" s="117">
        <v>330</v>
      </c>
      <c r="U30" s="117">
        <v>321.89999999999998</v>
      </c>
      <c r="V30" s="123">
        <f t="shared" si="34"/>
        <v>97.545454545454533</v>
      </c>
      <c r="W30" s="117">
        <v>330</v>
      </c>
      <c r="X30" s="117">
        <v>317</v>
      </c>
      <c r="Y30" s="117">
        <f>X30/W30*100</f>
        <v>96.060606060606062</v>
      </c>
      <c r="Z30" s="123">
        <v>330</v>
      </c>
      <c r="AA30" s="123">
        <v>316.89999999999998</v>
      </c>
      <c r="AB30" s="117">
        <f t="shared" si="36"/>
        <v>96.030303030303017</v>
      </c>
      <c r="AC30" s="117">
        <v>330</v>
      </c>
      <c r="AD30" s="117">
        <v>302.39999999999998</v>
      </c>
      <c r="AE30" s="117">
        <f t="shared" ref="AE30" si="43">AD30/AC30*100</f>
        <v>91.636363636363626</v>
      </c>
      <c r="AF30" s="117">
        <v>330</v>
      </c>
      <c r="AG30" s="117">
        <v>315.10000000000002</v>
      </c>
      <c r="AH30" s="123">
        <f t="shared" ref="AH30:AH33" si="44">AG30/AF30*100</f>
        <v>95.484848484848499</v>
      </c>
      <c r="AI30" s="123">
        <f>314.5-2.7</f>
        <v>311.8</v>
      </c>
      <c r="AJ30" s="123">
        <v>325.10000000000002</v>
      </c>
      <c r="AK30" s="123">
        <f>AJ30/AI30*100</f>
        <v>104.26555484284799</v>
      </c>
      <c r="AL30" s="117">
        <f>290.5-5.9</f>
        <v>284.60000000000002</v>
      </c>
      <c r="AM30" s="117">
        <v>284.60000000000002</v>
      </c>
      <c r="AN30" s="117">
        <f>AM30/AL30*100</f>
        <v>100</v>
      </c>
      <c r="AO30" s="117">
        <v>294.10000000000002</v>
      </c>
      <c r="AP30" s="123">
        <v>387.6</v>
      </c>
      <c r="AQ30" s="123">
        <f>AP30/AO30*100</f>
        <v>131.79190751445086</v>
      </c>
      <c r="AR30" s="370"/>
      <c r="AS30" s="330"/>
      <c r="AT30" s="121"/>
      <c r="AU30" s="121"/>
      <c r="AV30" s="155"/>
    </row>
    <row r="31" spans="1:48" s="31" customFormat="1" ht="24">
      <c r="A31" s="454"/>
      <c r="B31" s="322"/>
      <c r="C31" s="322"/>
      <c r="D31" s="143" t="s">
        <v>257</v>
      </c>
      <c r="E31" s="123">
        <f t="shared" si="39"/>
        <v>0</v>
      </c>
      <c r="F31" s="123">
        <f t="shared" si="39"/>
        <v>0</v>
      </c>
      <c r="G31" s="123">
        <v>0</v>
      </c>
      <c r="H31" s="123">
        <v>0</v>
      </c>
      <c r="I31" s="123">
        <v>0</v>
      </c>
      <c r="J31" s="123">
        <v>0</v>
      </c>
      <c r="K31" s="150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17">
        <v>0</v>
      </c>
      <c r="U31" s="117">
        <v>0</v>
      </c>
      <c r="V31" s="123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23">
        <v>0</v>
      </c>
      <c r="AJ31" s="123">
        <v>0</v>
      </c>
      <c r="AK31" s="123">
        <v>0</v>
      </c>
      <c r="AL31" s="117">
        <v>0</v>
      </c>
      <c r="AM31" s="117">
        <v>0</v>
      </c>
      <c r="AN31" s="117">
        <v>0</v>
      </c>
      <c r="AO31" s="123">
        <v>0</v>
      </c>
      <c r="AP31" s="123">
        <v>0</v>
      </c>
      <c r="AQ31" s="123">
        <v>0</v>
      </c>
      <c r="AR31" s="370"/>
      <c r="AS31" s="330"/>
      <c r="AT31" s="121"/>
      <c r="AU31" s="121"/>
      <c r="AV31" s="155"/>
    </row>
    <row r="32" spans="1:48" s="31" customFormat="1" ht="24">
      <c r="A32" s="455"/>
      <c r="B32" s="323"/>
      <c r="C32" s="323"/>
      <c r="D32" s="143" t="s">
        <v>469</v>
      </c>
      <c r="E32" s="123">
        <f>H32+K32+N32+Q32+T32+W32+Z32+AC32+AF32+AI32+AL32+AO32</f>
        <v>0</v>
      </c>
      <c r="F32" s="123">
        <f>I32+L32+O32+R32+U32+X32+AA32+AD32+AG32+AJ32+AM32+AP32</f>
        <v>0</v>
      </c>
      <c r="G32" s="123">
        <v>0</v>
      </c>
      <c r="H32" s="123">
        <v>0</v>
      </c>
      <c r="I32" s="123">
        <v>0</v>
      </c>
      <c r="J32" s="123">
        <v>0</v>
      </c>
      <c r="K32" s="150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17">
        <v>0</v>
      </c>
      <c r="U32" s="117">
        <v>0</v>
      </c>
      <c r="V32" s="123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23">
        <v>0</v>
      </c>
      <c r="AI32" s="123">
        <v>0</v>
      </c>
      <c r="AJ32" s="123">
        <v>0</v>
      </c>
      <c r="AK32" s="123">
        <v>0</v>
      </c>
      <c r="AL32" s="117">
        <v>0</v>
      </c>
      <c r="AM32" s="117">
        <v>0</v>
      </c>
      <c r="AN32" s="117">
        <v>0</v>
      </c>
      <c r="AO32" s="123">
        <v>0</v>
      </c>
      <c r="AP32" s="123">
        <v>0</v>
      </c>
      <c r="AQ32" s="123">
        <v>0</v>
      </c>
      <c r="AR32" s="371"/>
      <c r="AS32" s="368"/>
      <c r="AT32" s="121"/>
      <c r="AU32" s="121"/>
      <c r="AV32" s="155"/>
    </row>
    <row r="33" spans="1:48" s="31" customFormat="1" ht="37.5" customHeight="1">
      <c r="A33" s="453" t="s">
        <v>6</v>
      </c>
      <c r="B33" s="321" t="s">
        <v>473</v>
      </c>
      <c r="C33" s="321" t="s">
        <v>451</v>
      </c>
      <c r="D33" s="224" t="s">
        <v>444</v>
      </c>
      <c r="E33" s="123">
        <f>SUM(E34:E36)</f>
        <v>6371.4</v>
      </c>
      <c r="F33" s="123">
        <f t="shared" ref="F33:O33" si="45">SUM(F34:F36)</f>
        <v>6344.9000000000005</v>
      </c>
      <c r="G33" s="123">
        <f>F33/E33*100</f>
        <v>99.584078852371547</v>
      </c>
      <c r="H33" s="123">
        <f t="shared" si="45"/>
        <v>12.1</v>
      </c>
      <c r="I33" s="123">
        <f t="shared" si="45"/>
        <v>12.1</v>
      </c>
      <c r="J33" s="123">
        <f t="shared" si="33"/>
        <v>100</v>
      </c>
      <c r="K33" s="123">
        <f t="shared" si="45"/>
        <v>180.4</v>
      </c>
      <c r="L33" s="123">
        <f t="shared" si="45"/>
        <v>135.4</v>
      </c>
      <c r="M33" s="123">
        <f t="shared" si="40"/>
        <v>75.05543237250555</v>
      </c>
      <c r="N33" s="123">
        <f t="shared" si="45"/>
        <v>693.3</v>
      </c>
      <c r="O33" s="123">
        <f t="shared" si="45"/>
        <v>282.3</v>
      </c>
      <c r="P33" s="123">
        <f t="shared" si="41"/>
        <v>40.718303764604066</v>
      </c>
      <c r="Q33" s="123">
        <f t="shared" ref="Q33:Y33" si="46">SUM(Q34:Q36)</f>
        <v>231.10000000000002</v>
      </c>
      <c r="R33" s="123">
        <f t="shared" si="46"/>
        <v>231.10000000000002</v>
      </c>
      <c r="S33" s="123">
        <f t="shared" si="42"/>
        <v>100</v>
      </c>
      <c r="T33" s="123">
        <f t="shared" si="46"/>
        <v>174.2</v>
      </c>
      <c r="U33" s="123">
        <f t="shared" si="46"/>
        <v>174.2</v>
      </c>
      <c r="V33" s="123">
        <f t="shared" si="46"/>
        <v>200</v>
      </c>
      <c r="W33" s="123">
        <f t="shared" si="46"/>
        <v>1339.7</v>
      </c>
      <c r="X33" s="123">
        <f t="shared" si="46"/>
        <v>310.60000000000002</v>
      </c>
      <c r="Y33" s="123">
        <f t="shared" si="46"/>
        <v>45.659617199318788</v>
      </c>
      <c r="Z33" s="123">
        <f t="shared" ref="Z33:AA33" si="47">SUM(Z34:Z36)</f>
        <v>967</v>
      </c>
      <c r="AA33" s="123">
        <f t="shared" si="47"/>
        <v>989.80000000000007</v>
      </c>
      <c r="AB33" s="117">
        <f t="shared" si="36"/>
        <v>102.35780765253362</v>
      </c>
      <c r="AC33" s="123">
        <f t="shared" ref="AC33:AP33" si="48">SUM(AC34:AC36)</f>
        <v>988</v>
      </c>
      <c r="AD33" s="123">
        <f t="shared" si="48"/>
        <v>949.59999999999991</v>
      </c>
      <c r="AE33" s="123">
        <f t="shared" si="12"/>
        <v>96.113360323886639</v>
      </c>
      <c r="AF33" s="123">
        <f t="shared" si="48"/>
        <v>958.5</v>
      </c>
      <c r="AG33" s="123">
        <f t="shared" si="48"/>
        <v>1073.8000000000002</v>
      </c>
      <c r="AH33" s="123">
        <f t="shared" si="44"/>
        <v>112.02921231090248</v>
      </c>
      <c r="AI33" s="123">
        <f t="shared" si="48"/>
        <v>682.6</v>
      </c>
      <c r="AJ33" s="123">
        <f t="shared" si="48"/>
        <v>681.69999999999993</v>
      </c>
      <c r="AK33" s="123">
        <f>AJ33/AI33*100</f>
        <v>99.868151186639309</v>
      </c>
      <c r="AL33" s="123">
        <f t="shared" si="48"/>
        <v>144.5</v>
      </c>
      <c r="AM33" s="123">
        <f t="shared" si="48"/>
        <v>690.3</v>
      </c>
      <c r="AN33" s="117">
        <f>AM33/AL33*100</f>
        <v>477.71626297577853</v>
      </c>
      <c r="AO33" s="123">
        <f t="shared" si="48"/>
        <v>0</v>
      </c>
      <c r="AP33" s="123">
        <f t="shared" si="48"/>
        <v>814</v>
      </c>
      <c r="AQ33" s="123">
        <v>100</v>
      </c>
      <c r="AR33" s="369" t="s">
        <v>521</v>
      </c>
      <c r="AS33" s="388" t="s">
        <v>511</v>
      </c>
      <c r="AT33" s="121"/>
      <c r="AU33" s="121"/>
      <c r="AV33" s="155"/>
    </row>
    <row r="34" spans="1:48" s="31" customFormat="1" ht="48">
      <c r="A34" s="454"/>
      <c r="B34" s="322"/>
      <c r="C34" s="322"/>
      <c r="D34" s="225" t="s">
        <v>442</v>
      </c>
      <c r="E34" s="123">
        <f>H34+K34+N34+Q34+T34+W34+Z34+AC34+AF34+AI34+AL34+AO34</f>
        <v>2680.3</v>
      </c>
      <c r="F34" s="123">
        <f>I34+L34+O34+R34+U34+X34+AA34+AD34+AG34+AJ34+AM34+AP34</f>
        <v>2666.0000000000005</v>
      </c>
      <c r="G34" s="123">
        <f>F34/E34*100</f>
        <v>99.46647763310078</v>
      </c>
      <c r="H34" s="123">
        <v>0</v>
      </c>
      <c r="I34" s="123">
        <v>0</v>
      </c>
      <c r="J34" s="123">
        <v>0</v>
      </c>
      <c r="K34" s="150">
        <v>45</v>
      </c>
      <c r="L34" s="123">
        <v>0</v>
      </c>
      <c r="M34" s="123">
        <f t="shared" si="40"/>
        <v>0</v>
      </c>
      <c r="N34" s="123">
        <v>115</v>
      </c>
      <c r="O34" s="123">
        <v>61.6</v>
      </c>
      <c r="P34" s="123">
        <f t="shared" si="41"/>
        <v>53.565217391304351</v>
      </c>
      <c r="Q34" s="123">
        <v>91.3</v>
      </c>
      <c r="R34" s="123">
        <v>91.3</v>
      </c>
      <c r="S34" s="123">
        <f t="shared" si="42"/>
        <v>100</v>
      </c>
      <c r="T34" s="117">
        <v>10.7</v>
      </c>
      <c r="U34" s="117">
        <v>10.7</v>
      </c>
      <c r="V34" s="117">
        <f>U34/T34*100</f>
        <v>100</v>
      </c>
      <c r="W34" s="117">
        <v>448.6</v>
      </c>
      <c r="X34" s="117">
        <v>97.6</v>
      </c>
      <c r="Y34" s="117">
        <f>X34/W34*100</f>
        <v>21.756576014266603</v>
      </c>
      <c r="Z34" s="117">
        <f>250+120+150+50</f>
        <v>570</v>
      </c>
      <c r="AA34" s="117">
        <v>556.70000000000005</v>
      </c>
      <c r="AB34" s="117">
        <f t="shared" si="36"/>
        <v>97.666666666666686</v>
      </c>
      <c r="AC34" s="117">
        <f>120+268.8+533.9-50-300-39.2</f>
        <v>533.5</v>
      </c>
      <c r="AD34" s="117">
        <v>468.4</v>
      </c>
      <c r="AE34" s="117">
        <f>AD34/AC34*100</f>
        <v>87.797563261480775</v>
      </c>
      <c r="AF34" s="117">
        <f>110+12.9+133.7+31.9+300</f>
        <v>588.5</v>
      </c>
      <c r="AG34" s="117">
        <v>555.70000000000005</v>
      </c>
      <c r="AH34" s="117">
        <f>AG34/AF34*100</f>
        <v>94.426508071367891</v>
      </c>
      <c r="AI34" s="123">
        <v>136.4</v>
      </c>
      <c r="AJ34" s="123">
        <v>164.4</v>
      </c>
      <c r="AK34" s="123">
        <f>AJ34/AI34*100</f>
        <v>120.52785923753666</v>
      </c>
      <c r="AL34" s="117">
        <v>141.30000000000001</v>
      </c>
      <c r="AM34" s="117">
        <v>297.5</v>
      </c>
      <c r="AN34" s="117">
        <f>AM34/AL34*100</f>
        <v>210.54493984430289</v>
      </c>
      <c r="AO34" s="123">
        <v>0</v>
      </c>
      <c r="AP34" s="123">
        <v>362.1</v>
      </c>
      <c r="AQ34" s="123">
        <v>100</v>
      </c>
      <c r="AR34" s="370"/>
      <c r="AS34" s="389"/>
      <c r="AT34" s="121"/>
      <c r="AU34" s="121"/>
      <c r="AV34" s="155"/>
    </row>
    <row r="35" spans="1:48" s="31" customFormat="1" ht="33.75" customHeight="1">
      <c r="A35" s="454"/>
      <c r="B35" s="322"/>
      <c r="C35" s="322"/>
      <c r="D35" s="225" t="s">
        <v>462</v>
      </c>
      <c r="E35" s="123">
        <f t="shared" ref="E35:F36" si="49">H35+K35+N35+Q35+T35+W35+Z35+AC35+AF35+AI35+AL35+AO35</f>
        <v>3691.0999999999995</v>
      </c>
      <c r="F35" s="123">
        <f t="shared" si="49"/>
        <v>3678.9</v>
      </c>
      <c r="G35" s="123">
        <f>F35/E35*100</f>
        <v>99.669475224187934</v>
      </c>
      <c r="H35" s="123">
        <v>12.1</v>
      </c>
      <c r="I35" s="123">
        <v>12.1</v>
      </c>
      <c r="J35" s="123">
        <f>I35/H35*100</f>
        <v>100</v>
      </c>
      <c r="K35" s="123">
        <v>135.4</v>
      </c>
      <c r="L35" s="123">
        <v>135.4</v>
      </c>
      <c r="M35" s="123">
        <f>L35/K35*100</f>
        <v>100</v>
      </c>
      <c r="N35" s="123">
        <v>578.29999999999995</v>
      </c>
      <c r="O35" s="123">
        <v>220.7</v>
      </c>
      <c r="P35" s="123">
        <f>O35/N35*100</f>
        <v>38.163582915441815</v>
      </c>
      <c r="Q35" s="123">
        <v>139.80000000000001</v>
      </c>
      <c r="R35" s="123">
        <v>139.80000000000001</v>
      </c>
      <c r="S35" s="123">
        <f>R35/Q35*100</f>
        <v>100</v>
      </c>
      <c r="T35" s="117">
        <v>163.5</v>
      </c>
      <c r="U35" s="117">
        <v>163.5</v>
      </c>
      <c r="V35" s="117">
        <f>U35/T35*100</f>
        <v>100</v>
      </c>
      <c r="W35" s="117">
        <v>891.1</v>
      </c>
      <c r="X35" s="117">
        <v>213</v>
      </c>
      <c r="Y35" s="117">
        <f>X35/W35*100</f>
        <v>23.903041185052182</v>
      </c>
      <c r="Z35" s="123">
        <v>397</v>
      </c>
      <c r="AA35" s="123">
        <v>433.1</v>
      </c>
      <c r="AB35" s="117">
        <f t="shared" si="36"/>
        <v>109.09319899244335</v>
      </c>
      <c r="AC35" s="117">
        <v>454.5</v>
      </c>
      <c r="AD35" s="117">
        <v>481.2</v>
      </c>
      <c r="AE35" s="117">
        <f>AD35/AC35*100</f>
        <v>105.87458745874588</v>
      </c>
      <c r="AF35" s="117">
        <v>370</v>
      </c>
      <c r="AG35" s="117">
        <v>518.1</v>
      </c>
      <c r="AH35" s="117">
        <f>AG35/AF35*100</f>
        <v>140.02702702702703</v>
      </c>
      <c r="AI35" s="123">
        <v>546.20000000000005</v>
      </c>
      <c r="AJ35" s="123">
        <v>517.29999999999995</v>
      </c>
      <c r="AK35" s="123">
        <f>AJ35/AI35*100</f>
        <v>94.708897839619169</v>
      </c>
      <c r="AL35" s="117">
        <v>3.2</v>
      </c>
      <c r="AM35" s="117">
        <v>392.8</v>
      </c>
      <c r="AN35" s="117">
        <v>100</v>
      </c>
      <c r="AO35" s="117">
        <v>0</v>
      </c>
      <c r="AP35" s="123">
        <v>451.9</v>
      </c>
      <c r="AQ35" s="123">
        <v>100</v>
      </c>
      <c r="AR35" s="370"/>
      <c r="AS35" s="389"/>
      <c r="AT35" s="121"/>
      <c r="AU35" s="121"/>
      <c r="AV35" s="155"/>
    </row>
    <row r="36" spans="1:48" s="31" customFormat="1" ht="32.25" customHeight="1">
      <c r="A36" s="454"/>
      <c r="B36" s="322"/>
      <c r="C36" s="322"/>
      <c r="D36" s="143" t="s">
        <v>257</v>
      </c>
      <c r="E36" s="123">
        <f t="shared" si="49"/>
        <v>0</v>
      </c>
      <c r="F36" s="123">
        <f t="shared" si="49"/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23">
        <v>0</v>
      </c>
      <c r="AA36" s="123">
        <v>0</v>
      </c>
      <c r="AB36" s="123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23">
        <v>0</v>
      </c>
      <c r="AJ36" s="123">
        <v>0</v>
      </c>
      <c r="AK36" s="123">
        <v>0</v>
      </c>
      <c r="AL36" s="117">
        <v>0</v>
      </c>
      <c r="AM36" s="117">
        <v>0</v>
      </c>
      <c r="AN36" s="117">
        <v>0</v>
      </c>
      <c r="AO36" s="117">
        <v>0</v>
      </c>
      <c r="AP36" s="123">
        <v>0</v>
      </c>
      <c r="AQ36" s="123">
        <v>0</v>
      </c>
      <c r="AR36" s="370"/>
      <c r="AS36" s="389"/>
      <c r="AT36" s="121"/>
      <c r="AU36" s="121"/>
      <c r="AV36" s="155"/>
    </row>
    <row r="37" spans="1:48" s="31" customFormat="1" ht="30" customHeight="1">
      <c r="A37" s="455"/>
      <c r="B37" s="323"/>
      <c r="C37" s="323"/>
      <c r="D37" s="143" t="s">
        <v>469</v>
      </c>
      <c r="E37" s="123">
        <f>H37+K37+N37+Q37+T37+W37+Z37+AC37+AF37+AI37+AL37+AO37</f>
        <v>0</v>
      </c>
      <c r="F37" s="123">
        <f>I37+L37+O37+R37+U37+X37+AA37+AD37+AG37+AJ37+AM37+AP37</f>
        <v>0</v>
      </c>
      <c r="G37" s="123">
        <v>0</v>
      </c>
      <c r="H37" s="123">
        <v>0</v>
      </c>
      <c r="I37" s="123">
        <v>0</v>
      </c>
      <c r="J37" s="123">
        <v>0</v>
      </c>
      <c r="K37" s="150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17">
        <v>0</v>
      </c>
      <c r="U37" s="117">
        <v>0</v>
      </c>
      <c r="V37" s="123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23">
        <v>0</v>
      </c>
      <c r="AI37" s="123">
        <v>0</v>
      </c>
      <c r="AJ37" s="123">
        <v>0</v>
      </c>
      <c r="AK37" s="123">
        <v>0</v>
      </c>
      <c r="AL37" s="117">
        <v>0</v>
      </c>
      <c r="AM37" s="117">
        <v>0</v>
      </c>
      <c r="AN37" s="117">
        <v>0</v>
      </c>
      <c r="AO37" s="123">
        <v>0</v>
      </c>
      <c r="AP37" s="123">
        <v>0</v>
      </c>
      <c r="AQ37" s="123">
        <v>0</v>
      </c>
      <c r="AR37" s="371"/>
      <c r="AS37" s="390"/>
      <c r="AT37" s="121"/>
      <c r="AU37" s="121"/>
      <c r="AV37" s="155"/>
    </row>
    <row r="38" spans="1:48" s="31" customFormat="1" ht="71.25" customHeight="1">
      <c r="A38" s="453" t="s">
        <v>10</v>
      </c>
      <c r="B38" s="321" t="s">
        <v>474</v>
      </c>
      <c r="C38" s="321" t="s">
        <v>452</v>
      </c>
      <c r="D38" s="224" t="s">
        <v>444</v>
      </c>
      <c r="E38" s="123">
        <f>SUM(E39:E40)</f>
        <v>9285.5000000000018</v>
      </c>
      <c r="F38" s="123">
        <f>SUM(F39:F40)</f>
        <v>8573.7000000000007</v>
      </c>
      <c r="G38" s="123">
        <f>F38/E38*100</f>
        <v>92.334284637337774</v>
      </c>
      <c r="H38" s="123">
        <f>SUM(H39:H40)</f>
        <v>0</v>
      </c>
      <c r="I38" s="123">
        <f>SUM(I39:I40)</f>
        <v>0</v>
      </c>
      <c r="J38" s="123">
        <f>SUM(J39:J40)</f>
        <v>0</v>
      </c>
      <c r="K38" s="123">
        <f>SUM(K39:K40)</f>
        <v>109</v>
      </c>
      <c r="L38" s="123">
        <f>SUM(L39:L40)</f>
        <v>109</v>
      </c>
      <c r="M38" s="123">
        <f>L38/K38*100</f>
        <v>100</v>
      </c>
      <c r="N38" s="123">
        <f>SUM(N39:N40)</f>
        <v>196.5</v>
      </c>
      <c r="O38" s="123">
        <f>SUM(O39:O40)</f>
        <v>194.6</v>
      </c>
      <c r="P38" s="123">
        <f>O38/N38*100</f>
        <v>99.033078880407118</v>
      </c>
      <c r="Q38" s="123">
        <f>SUM(Q39:Q40)</f>
        <v>2151.1</v>
      </c>
      <c r="R38" s="123">
        <f>SUM(R39:R40)</f>
        <v>2071.1</v>
      </c>
      <c r="S38" s="123">
        <f>R38/Q38*100</f>
        <v>96.280972525684533</v>
      </c>
      <c r="T38" s="123">
        <f>SUM(T39:T40)</f>
        <v>588</v>
      </c>
      <c r="U38" s="123">
        <f>SUM(U39:U40)</f>
        <v>581</v>
      </c>
      <c r="V38" s="123">
        <f>SUM(V39:V40)</f>
        <v>98.80952380952381</v>
      </c>
      <c r="W38" s="123">
        <f>SUM(W39:W40)</f>
        <v>511.09999999999991</v>
      </c>
      <c r="X38" s="123">
        <f>SUM(X39:X40)</f>
        <v>470</v>
      </c>
      <c r="Y38" s="117">
        <f>X38/W38*100</f>
        <v>91.958520837409523</v>
      </c>
      <c r="Z38" s="123">
        <f>SUM(Z39:Z40)</f>
        <v>450.6</v>
      </c>
      <c r="AA38" s="123">
        <f>SUM(AA39:AA40)</f>
        <v>448.9</v>
      </c>
      <c r="AB38" s="123">
        <f>AA38/Z38*100</f>
        <v>99.622725255215258</v>
      </c>
      <c r="AC38" s="123">
        <f>SUM(AC39:AC40)</f>
        <v>188.39999999999998</v>
      </c>
      <c r="AD38" s="123">
        <f>SUM(AD39:AD40)</f>
        <v>124.7</v>
      </c>
      <c r="AE38" s="117">
        <f>AD38/AC38*100</f>
        <v>66.188959660297257</v>
      </c>
      <c r="AF38" s="123">
        <f>SUM(AF39:AF40)</f>
        <v>1900.4</v>
      </c>
      <c r="AG38" s="123">
        <f>SUM(AG39:AG40)</f>
        <v>1679.9</v>
      </c>
      <c r="AH38" s="117">
        <f>AG38/AF38*100</f>
        <v>88.397179541149228</v>
      </c>
      <c r="AI38" s="123">
        <f t="shared" ref="AI38:AQ38" si="50">SUM(AI39:AI40)</f>
        <v>559.1</v>
      </c>
      <c r="AJ38" s="123">
        <f t="shared" si="50"/>
        <v>559.1</v>
      </c>
      <c r="AK38" s="123">
        <f t="shared" si="50"/>
        <v>100</v>
      </c>
      <c r="AL38" s="123">
        <f t="shared" si="50"/>
        <v>602.6</v>
      </c>
      <c r="AM38" s="123">
        <f t="shared" si="50"/>
        <v>602.6</v>
      </c>
      <c r="AN38" s="123">
        <f t="shared" si="50"/>
        <v>100</v>
      </c>
      <c r="AO38" s="123">
        <f t="shared" si="50"/>
        <v>2028.7</v>
      </c>
      <c r="AP38" s="123">
        <f t="shared" si="50"/>
        <v>1732.8</v>
      </c>
      <c r="AQ38" s="123">
        <f t="shared" si="50"/>
        <v>85.414304727165174</v>
      </c>
      <c r="AR38" s="412" t="s">
        <v>517</v>
      </c>
      <c r="AS38" s="388" t="s">
        <v>512</v>
      </c>
      <c r="AT38" s="121"/>
      <c r="AU38" s="121"/>
      <c r="AV38" s="155"/>
    </row>
    <row r="39" spans="1:48" s="31" customFormat="1" ht="121.5" customHeight="1">
      <c r="A39" s="454"/>
      <c r="B39" s="322"/>
      <c r="C39" s="322"/>
      <c r="D39" s="225" t="s">
        <v>442</v>
      </c>
      <c r="E39" s="123">
        <f>H39+K39+N39+Q39+T39+W39+Z39+AC39+AF39+AI39+AL39+AO39</f>
        <v>0</v>
      </c>
      <c r="F39" s="123">
        <f>I39+L39+O39+R39+U39+X39+AA39+AD39+AG39+AJ39+AM39+AP39</f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23">
        <v>0</v>
      </c>
      <c r="AA39" s="123">
        <v>0</v>
      </c>
      <c r="AB39" s="123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23">
        <v>0</v>
      </c>
      <c r="AJ39" s="123">
        <v>0</v>
      </c>
      <c r="AK39" s="123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413"/>
      <c r="AS39" s="389"/>
      <c r="AT39" s="121"/>
      <c r="AU39" s="121"/>
      <c r="AV39" s="155"/>
    </row>
    <row r="40" spans="1:48" s="31" customFormat="1" ht="117.75" customHeight="1">
      <c r="A40" s="454"/>
      <c r="B40" s="322"/>
      <c r="C40" s="322"/>
      <c r="D40" s="225" t="s">
        <v>462</v>
      </c>
      <c r="E40" s="123">
        <f t="shared" ref="E40:F42" si="51">H40+K40+N40+Q40+T40+W40+Z40+AC40+AF40+AI40+AL40+AO40</f>
        <v>9285.5000000000018</v>
      </c>
      <c r="F40" s="123">
        <f t="shared" si="51"/>
        <v>8573.7000000000007</v>
      </c>
      <c r="G40" s="123">
        <f>F40/E40*100</f>
        <v>92.334284637337774</v>
      </c>
      <c r="H40" s="123">
        <v>0</v>
      </c>
      <c r="I40" s="123">
        <v>0</v>
      </c>
      <c r="J40" s="123">
        <v>0</v>
      </c>
      <c r="K40" s="123">
        <v>109</v>
      </c>
      <c r="L40" s="123">
        <v>109</v>
      </c>
      <c r="M40" s="123">
        <f>L40/K40*100</f>
        <v>100</v>
      </c>
      <c r="N40" s="123">
        <v>196.5</v>
      </c>
      <c r="O40" s="123">
        <v>194.6</v>
      </c>
      <c r="P40" s="123">
        <f>O40/N40*100</f>
        <v>99.033078880407118</v>
      </c>
      <c r="Q40" s="123">
        <f>2071.1+80</f>
        <v>2151.1</v>
      </c>
      <c r="R40" s="123">
        <v>2071.1</v>
      </c>
      <c r="S40" s="123">
        <f>R40/Q40*100</f>
        <v>96.280972525684533</v>
      </c>
      <c r="T40" s="117">
        <v>588</v>
      </c>
      <c r="U40" s="117">
        <v>581</v>
      </c>
      <c r="V40" s="117">
        <f>U40/T40*100</f>
        <v>98.80952380952381</v>
      </c>
      <c r="W40" s="117">
        <f>66+1140+4+51.1-600-150</f>
        <v>511.09999999999991</v>
      </c>
      <c r="X40" s="117">
        <v>470</v>
      </c>
      <c r="Y40" s="117">
        <f>X40/W40*100</f>
        <v>91.958520837409523</v>
      </c>
      <c r="Z40" s="123">
        <f>366+4+80.6</f>
        <v>450.6</v>
      </c>
      <c r="AA40" s="123">
        <v>448.9</v>
      </c>
      <c r="AB40" s="123">
        <f>AA40/Z40*100</f>
        <v>99.622725255215258</v>
      </c>
      <c r="AC40" s="117">
        <f>366+4+18.4-200</f>
        <v>188.39999999999998</v>
      </c>
      <c r="AD40" s="117">
        <v>124.7</v>
      </c>
      <c r="AE40" s="117">
        <f>AD40/AC40*100</f>
        <v>66.188959660297257</v>
      </c>
      <c r="AF40" s="117">
        <f>66+1140+4+0.9+30-21.2+480.7+200</f>
        <v>1900.4</v>
      </c>
      <c r="AG40" s="117">
        <v>1679.9</v>
      </c>
      <c r="AH40" s="117">
        <f>AG40/AF40*100</f>
        <v>88.397179541149228</v>
      </c>
      <c r="AI40" s="123">
        <v>559.1</v>
      </c>
      <c r="AJ40" s="123">
        <v>559.1</v>
      </c>
      <c r="AK40" s="117">
        <f>AJ40/AI40*100</f>
        <v>100</v>
      </c>
      <c r="AL40" s="117">
        <v>602.6</v>
      </c>
      <c r="AM40" s="117">
        <v>602.6</v>
      </c>
      <c r="AN40" s="117">
        <f>AM40/AL40*100</f>
        <v>100</v>
      </c>
      <c r="AO40" s="117">
        <v>2028.7</v>
      </c>
      <c r="AP40" s="117">
        <v>1732.8</v>
      </c>
      <c r="AQ40" s="117">
        <f>AP40/AO40*100</f>
        <v>85.414304727165174</v>
      </c>
      <c r="AR40" s="413"/>
      <c r="AS40" s="389"/>
      <c r="AT40" s="121"/>
      <c r="AU40" s="121"/>
      <c r="AV40" s="155"/>
    </row>
    <row r="41" spans="1:48" s="31" customFormat="1" ht="161.25" customHeight="1">
      <c r="A41" s="454"/>
      <c r="B41" s="322"/>
      <c r="C41" s="322"/>
      <c r="D41" s="229" t="s">
        <v>458</v>
      </c>
      <c r="E41" s="123">
        <f t="shared" si="51"/>
        <v>0</v>
      </c>
      <c r="F41" s="123">
        <f t="shared" si="51"/>
        <v>359.4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f>11+99.5</f>
        <v>110.5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99</v>
      </c>
      <c r="S41" s="123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23">
        <v>0</v>
      </c>
      <c r="AA41" s="123">
        <v>149.9</v>
      </c>
      <c r="AB41" s="123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23">
        <v>0</v>
      </c>
      <c r="AJ41" s="123">
        <v>0</v>
      </c>
      <c r="AK41" s="123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413"/>
      <c r="AS41" s="389"/>
      <c r="AT41" s="121"/>
      <c r="AU41" s="121"/>
      <c r="AV41" s="155"/>
    </row>
    <row r="42" spans="1:48" s="31" customFormat="1" ht="89.25" customHeight="1">
      <c r="A42" s="454"/>
      <c r="B42" s="322"/>
      <c r="C42" s="322"/>
      <c r="D42" s="143" t="s">
        <v>257</v>
      </c>
      <c r="E42" s="123">
        <f t="shared" si="51"/>
        <v>0</v>
      </c>
      <c r="F42" s="123">
        <f t="shared" si="51"/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23">
        <v>0</v>
      </c>
      <c r="AA42" s="123">
        <v>0</v>
      </c>
      <c r="AB42" s="123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23">
        <v>0</v>
      </c>
      <c r="AJ42" s="123">
        <v>0</v>
      </c>
      <c r="AK42" s="123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413"/>
      <c r="AS42" s="389"/>
      <c r="AT42" s="121"/>
      <c r="AU42" s="121"/>
      <c r="AV42" s="155"/>
    </row>
    <row r="43" spans="1:48" s="31" customFormat="1" ht="94.5" customHeight="1">
      <c r="A43" s="455"/>
      <c r="B43" s="323"/>
      <c r="C43" s="323"/>
      <c r="D43" s="143" t="s">
        <v>469</v>
      </c>
      <c r="E43" s="123">
        <f>H43+K43+N43+Q43+T43+W43+Z43+AC43+AF43+AI43+AL43+AO43</f>
        <v>0</v>
      </c>
      <c r="F43" s="123">
        <f>I43+L43+O43+R43+U43+X43+AA43+AD43+AG43+AJ43+AM43+AP43</f>
        <v>0</v>
      </c>
      <c r="G43" s="123">
        <v>0</v>
      </c>
      <c r="H43" s="123">
        <v>0</v>
      </c>
      <c r="I43" s="123">
        <v>0</v>
      </c>
      <c r="J43" s="123">
        <v>0</v>
      </c>
      <c r="K43" s="150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17">
        <v>0</v>
      </c>
      <c r="U43" s="117">
        <v>0</v>
      </c>
      <c r="V43" s="123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23">
        <v>0</v>
      </c>
      <c r="AI43" s="123">
        <v>0</v>
      </c>
      <c r="AJ43" s="123">
        <v>0</v>
      </c>
      <c r="AK43" s="123">
        <v>0</v>
      </c>
      <c r="AL43" s="117">
        <v>0</v>
      </c>
      <c r="AM43" s="117">
        <v>0</v>
      </c>
      <c r="AN43" s="117">
        <v>0</v>
      </c>
      <c r="AO43" s="123">
        <v>0</v>
      </c>
      <c r="AP43" s="117">
        <v>0</v>
      </c>
      <c r="AQ43" s="117">
        <v>0</v>
      </c>
      <c r="AR43" s="414"/>
      <c r="AS43" s="390"/>
      <c r="AT43" s="121"/>
      <c r="AU43" s="121"/>
      <c r="AV43" s="155"/>
    </row>
    <row r="44" spans="1:48" s="31" customFormat="1" ht="12.75" customHeight="1">
      <c r="A44" s="453" t="s">
        <v>11</v>
      </c>
      <c r="B44" s="321" t="s">
        <v>475</v>
      </c>
      <c r="C44" s="321" t="s">
        <v>455</v>
      </c>
      <c r="D44" s="224" t="s">
        <v>444</v>
      </c>
      <c r="E44" s="123">
        <f>SUM(E45:E47)</f>
        <v>50</v>
      </c>
      <c r="F44" s="123">
        <f t="shared" ref="F44" si="52">SUM(F45:F47)</f>
        <v>50</v>
      </c>
      <c r="G44" s="123">
        <f>F44/E44*100</f>
        <v>100</v>
      </c>
      <c r="H44" s="123">
        <f t="shared" ref="H44:I44" si="53">SUM(H45:H47)</f>
        <v>0</v>
      </c>
      <c r="I44" s="123">
        <f t="shared" si="53"/>
        <v>0</v>
      </c>
      <c r="J44" s="123">
        <v>0</v>
      </c>
      <c r="K44" s="123">
        <f t="shared" ref="K44:L44" si="54">SUM(K45:K47)</f>
        <v>0</v>
      </c>
      <c r="L44" s="123">
        <f t="shared" si="54"/>
        <v>0</v>
      </c>
      <c r="M44" s="123">
        <v>0</v>
      </c>
      <c r="N44" s="123">
        <f t="shared" ref="N44:O44" si="55">SUM(N45:N47)</f>
        <v>0</v>
      </c>
      <c r="O44" s="123">
        <f t="shared" si="55"/>
        <v>0</v>
      </c>
      <c r="P44" s="123">
        <v>0</v>
      </c>
      <c r="Q44" s="123">
        <f t="shared" ref="Q44:R44" si="56">SUM(Q45:Q47)</f>
        <v>0</v>
      </c>
      <c r="R44" s="123">
        <f t="shared" si="56"/>
        <v>0</v>
      </c>
      <c r="S44" s="123">
        <v>0</v>
      </c>
      <c r="T44" s="123">
        <f t="shared" ref="T44:AA44" si="57">SUM(T45:T47)</f>
        <v>0</v>
      </c>
      <c r="U44" s="123">
        <f t="shared" si="57"/>
        <v>0</v>
      </c>
      <c r="V44" s="123">
        <f t="shared" si="57"/>
        <v>0</v>
      </c>
      <c r="W44" s="123">
        <f t="shared" si="57"/>
        <v>0</v>
      </c>
      <c r="X44" s="123">
        <f t="shared" si="57"/>
        <v>0</v>
      </c>
      <c r="Y44" s="123">
        <f t="shared" si="57"/>
        <v>0</v>
      </c>
      <c r="Z44" s="123">
        <f t="shared" si="57"/>
        <v>0</v>
      </c>
      <c r="AA44" s="123">
        <f t="shared" si="57"/>
        <v>0</v>
      </c>
      <c r="AB44" s="117">
        <v>0</v>
      </c>
      <c r="AC44" s="123">
        <f t="shared" ref="AC44:AD44" si="58">SUM(AC45:AC47)</f>
        <v>13.4</v>
      </c>
      <c r="AD44" s="123">
        <f t="shared" si="58"/>
        <v>13.4</v>
      </c>
      <c r="AE44" s="123">
        <f t="shared" ref="AE44" si="59">AD44/AC44*100</f>
        <v>100</v>
      </c>
      <c r="AF44" s="123">
        <f t="shared" ref="AF44:AG44" si="60">SUM(AF45:AF47)</f>
        <v>36.6</v>
      </c>
      <c r="AG44" s="123">
        <f t="shared" si="60"/>
        <v>36.6</v>
      </c>
      <c r="AH44" s="123">
        <f t="shared" ref="AH44" si="61">AG44/AF44*100</f>
        <v>100</v>
      </c>
      <c r="AI44" s="123">
        <f t="shared" ref="AI44:AJ44" si="62">SUM(AI45:AI47)</f>
        <v>0</v>
      </c>
      <c r="AJ44" s="123">
        <f t="shared" si="62"/>
        <v>0</v>
      </c>
      <c r="AK44" s="123">
        <v>0</v>
      </c>
      <c r="AL44" s="123">
        <f t="shared" ref="AL44:AM44" si="63">SUM(AL45:AL47)</f>
        <v>0</v>
      </c>
      <c r="AM44" s="123">
        <f t="shared" si="63"/>
        <v>0</v>
      </c>
      <c r="AN44" s="117">
        <v>0</v>
      </c>
      <c r="AO44" s="123">
        <f t="shared" ref="AO44:AP44" si="64">SUM(AO45:AO47)</f>
        <v>0</v>
      </c>
      <c r="AP44" s="123">
        <f t="shared" si="64"/>
        <v>0</v>
      </c>
      <c r="AQ44" s="123">
        <v>0</v>
      </c>
      <c r="AR44" s="369" t="s">
        <v>522</v>
      </c>
      <c r="AS44" s="388"/>
      <c r="AT44" s="121"/>
      <c r="AU44" s="121"/>
      <c r="AV44" s="155"/>
    </row>
    <row r="45" spans="1:48" s="31" customFormat="1" ht="48">
      <c r="A45" s="454"/>
      <c r="B45" s="322"/>
      <c r="C45" s="322"/>
      <c r="D45" s="225" t="s">
        <v>442</v>
      </c>
      <c r="E45" s="123">
        <f>H45+K45+N45+Q45+T45+W45+Z45+AC45+AF45+AI45+AL45+AO45</f>
        <v>50</v>
      </c>
      <c r="F45" s="123">
        <f>I45+L45+O45+R45+U45+X45+AA45+AD45+AG45+AJ45+AM45+AP45</f>
        <v>50</v>
      </c>
      <c r="G45" s="123">
        <f>F45/E45*100</f>
        <v>100</v>
      </c>
      <c r="H45" s="123">
        <v>0</v>
      </c>
      <c r="I45" s="123">
        <v>0</v>
      </c>
      <c r="J45" s="123">
        <v>0</v>
      </c>
      <c r="K45" s="150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13.4</v>
      </c>
      <c r="AD45" s="117">
        <v>13.4</v>
      </c>
      <c r="AE45" s="117">
        <f>AD45/AC45*100</f>
        <v>100</v>
      </c>
      <c r="AF45" s="117">
        <v>36.6</v>
      </c>
      <c r="AG45" s="117">
        <v>36.6</v>
      </c>
      <c r="AH45" s="117">
        <f>AG45/AF45*100</f>
        <v>100</v>
      </c>
      <c r="AI45" s="123">
        <v>0</v>
      </c>
      <c r="AJ45" s="123">
        <v>0</v>
      </c>
      <c r="AK45" s="123">
        <v>0</v>
      </c>
      <c r="AL45" s="117">
        <v>0</v>
      </c>
      <c r="AM45" s="117">
        <v>0</v>
      </c>
      <c r="AN45" s="117">
        <v>0</v>
      </c>
      <c r="AO45" s="123">
        <v>0</v>
      </c>
      <c r="AP45" s="123">
        <v>0</v>
      </c>
      <c r="AQ45" s="123">
        <v>0</v>
      </c>
      <c r="AR45" s="370"/>
      <c r="AS45" s="389"/>
      <c r="AT45" s="121"/>
      <c r="AU45" s="121"/>
      <c r="AV45" s="155"/>
    </row>
    <row r="46" spans="1:48" s="31" customFormat="1" ht="12.75">
      <c r="A46" s="454"/>
      <c r="B46" s="322"/>
      <c r="C46" s="322"/>
      <c r="D46" s="225" t="s">
        <v>462</v>
      </c>
      <c r="E46" s="123">
        <f t="shared" ref="E46:F47" si="65">H46+K46+N46+Q46+T46+W46+Z46+AC46+AF46+AI46+AL46+AO46</f>
        <v>0</v>
      </c>
      <c r="F46" s="123">
        <f t="shared" si="65"/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23">
        <v>0</v>
      </c>
      <c r="AA46" s="123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23">
        <v>0</v>
      </c>
      <c r="AJ46" s="123">
        <v>0</v>
      </c>
      <c r="AK46" s="123">
        <v>0</v>
      </c>
      <c r="AL46" s="117">
        <v>0</v>
      </c>
      <c r="AM46" s="117">
        <v>0</v>
      </c>
      <c r="AN46" s="117">
        <v>0</v>
      </c>
      <c r="AO46" s="117">
        <v>0</v>
      </c>
      <c r="AP46" s="123">
        <v>0</v>
      </c>
      <c r="AQ46" s="123">
        <v>0</v>
      </c>
      <c r="AR46" s="370"/>
      <c r="AS46" s="389"/>
      <c r="AT46" s="121"/>
      <c r="AU46" s="121"/>
      <c r="AV46" s="155"/>
    </row>
    <row r="47" spans="1:48" s="31" customFormat="1" ht="24">
      <c r="A47" s="454"/>
      <c r="B47" s="322"/>
      <c r="C47" s="322"/>
      <c r="D47" s="143" t="s">
        <v>257</v>
      </c>
      <c r="E47" s="123">
        <f t="shared" si="65"/>
        <v>0</v>
      </c>
      <c r="F47" s="123">
        <f t="shared" si="65"/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23">
        <v>0</v>
      </c>
      <c r="AA47" s="123">
        <v>0</v>
      </c>
      <c r="AB47" s="123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23">
        <v>0</v>
      </c>
      <c r="AJ47" s="123">
        <v>0</v>
      </c>
      <c r="AK47" s="123">
        <v>0</v>
      </c>
      <c r="AL47" s="117">
        <v>0</v>
      </c>
      <c r="AM47" s="117">
        <v>0</v>
      </c>
      <c r="AN47" s="117">
        <v>0</v>
      </c>
      <c r="AO47" s="117">
        <v>0</v>
      </c>
      <c r="AP47" s="123">
        <v>0</v>
      </c>
      <c r="AQ47" s="123">
        <v>0</v>
      </c>
      <c r="AR47" s="370"/>
      <c r="AS47" s="389"/>
      <c r="AT47" s="121"/>
      <c r="AU47" s="121"/>
      <c r="AV47" s="155"/>
    </row>
    <row r="48" spans="1:48" s="31" customFormat="1" ht="24">
      <c r="A48" s="455"/>
      <c r="B48" s="323"/>
      <c r="C48" s="323"/>
      <c r="D48" s="143" t="s">
        <v>469</v>
      </c>
      <c r="E48" s="123">
        <f>H48+K48+N48+Q48+T48+W48+Z48+AC48+AF48+AI48+AL48+AO48</f>
        <v>0</v>
      </c>
      <c r="F48" s="123">
        <f>I48+L48+O48+R48+U48+X48+AA48+AD48+AG48+AJ48+AM48+AP48</f>
        <v>0</v>
      </c>
      <c r="G48" s="123">
        <v>0</v>
      </c>
      <c r="H48" s="123">
        <v>0</v>
      </c>
      <c r="I48" s="123">
        <v>0</v>
      </c>
      <c r="J48" s="123">
        <v>0</v>
      </c>
      <c r="K48" s="150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17">
        <v>0</v>
      </c>
      <c r="U48" s="117">
        <v>0</v>
      </c>
      <c r="V48" s="123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23">
        <v>0</v>
      </c>
      <c r="AI48" s="123">
        <v>0</v>
      </c>
      <c r="AJ48" s="123">
        <v>0</v>
      </c>
      <c r="AK48" s="123">
        <v>0</v>
      </c>
      <c r="AL48" s="117">
        <v>0</v>
      </c>
      <c r="AM48" s="117">
        <v>0</v>
      </c>
      <c r="AN48" s="117">
        <v>0</v>
      </c>
      <c r="AO48" s="123">
        <v>0</v>
      </c>
      <c r="AP48" s="123">
        <v>0</v>
      </c>
      <c r="AQ48" s="123">
        <v>0</v>
      </c>
      <c r="AR48" s="371"/>
      <c r="AS48" s="390"/>
      <c r="AT48" s="121"/>
      <c r="AU48" s="121"/>
      <c r="AV48" s="155"/>
    </row>
    <row r="49" spans="1:48" s="31" customFormat="1" ht="12.75" customHeight="1">
      <c r="A49" s="453" t="s">
        <v>466</v>
      </c>
      <c r="B49" s="321" t="s">
        <v>476</v>
      </c>
      <c r="C49" s="321" t="s">
        <v>268</v>
      </c>
      <c r="D49" s="224" t="s">
        <v>444</v>
      </c>
      <c r="E49" s="123">
        <f>SUM(E50:E52)</f>
        <v>0</v>
      </c>
      <c r="F49" s="123">
        <f t="shared" ref="F49" si="66">SUM(F50:F52)</f>
        <v>0</v>
      </c>
      <c r="G49" s="123">
        <v>0</v>
      </c>
      <c r="H49" s="123">
        <f t="shared" ref="H49:I49" si="67">SUM(H50:H52)</f>
        <v>0</v>
      </c>
      <c r="I49" s="123">
        <f t="shared" si="67"/>
        <v>0</v>
      </c>
      <c r="J49" s="123">
        <v>0</v>
      </c>
      <c r="K49" s="123">
        <f t="shared" ref="K49:L49" si="68">SUM(K50:K52)</f>
        <v>0</v>
      </c>
      <c r="L49" s="123">
        <f t="shared" si="68"/>
        <v>0</v>
      </c>
      <c r="M49" s="123">
        <v>0</v>
      </c>
      <c r="N49" s="123">
        <f t="shared" ref="N49:O49" si="69">SUM(N50:N52)</f>
        <v>0</v>
      </c>
      <c r="O49" s="123">
        <f t="shared" si="69"/>
        <v>0</v>
      </c>
      <c r="P49" s="123">
        <v>0</v>
      </c>
      <c r="Q49" s="123">
        <f t="shared" ref="Q49:R49" si="70">SUM(Q50:Q52)</f>
        <v>0</v>
      </c>
      <c r="R49" s="123">
        <f t="shared" si="70"/>
        <v>0</v>
      </c>
      <c r="S49" s="123">
        <v>0</v>
      </c>
      <c r="T49" s="123">
        <f t="shared" ref="T49:AA49" si="71">SUM(T50:T52)</f>
        <v>0</v>
      </c>
      <c r="U49" s="123">
        <f t="shared" si="71"/>
        <v>0</v>
      </c>
      <c r="V49" s="123">
        <f t="shared" si="71"/>
        <v>0</v>
      </c>
      <c r="W49" s="123">
        <f t="shared" si="71"/>
        <v>0</v>
      </c>
      <c r="X49" s="123">
        <f t="shared" si="71"/>
        <v>0</v>
      </c>
      <c r="Y49" s="123">
        <f t="shared" si="71"/>
        <v>0</v>
      </c>
      <c r="Z49" s="123">
        <f t="shared" si="71"/>
        <v>0</v>
      </c>
      <c r="AA49" s="123">
        <f t="shared" si="71"/>
        <v>0</v>
      </c>
      <c r="AB49" s="117">
        <v>0</v>
      </c>
      <c r="AC49" s="123">
        <f t="shared" ref="AC49:AD49" si="72">SUM(AC50:AC52)</f>
        <v>0</v>
      </c>
      <c r="AD49" s="123">
        <f t="shared" si="72"/>
        <v>0</v>
      </c>
      <c r="AE49" s="123">
        <v>0</v>
      </c>
      <c r="AF49" s="123">
        <f t="shared" ref="AF49:AG49" si="73">SUM(AF50:AF52)</f>
        <v>0</v>
      </c>
      <c r="AG49" s="123">
        <f t="shared" si="73"/>
        <v>0</v>
      </c>
      <c r="AH49" s="123">
        <v>0</v>
      </c>
      <c r="AI49" s="123">
        <f t="shared" ref="AI49:AJ49" si="74">SUM(AI50:AI52)</f>
        <v>0</v>
      </c>
      <c r="AJ49" s="123">
        <f t="shared" si="74"/>
        <v>0</v>
      </c>
      <c r="AK49" s="123">
        <v>0</v>
      </c>
      <c r="AL49" s="123">
        <f t="shared" ref="AL49:AM49" si="75">SUM(AL50:AL52)</f>
        <v>0</v>
      </c>
      <c r="AM49" s="123">
        <f t="shared" si="75"/>
        <v>0</v>
      </c>
      <c r="AN49" s="117">
        <v>0</v>
      </c>
      <c r="AO49" s="123">
        <f t="shared" ref="AO49:AP49" si="76">SUM(AO50:AO52)</f>
        <v>0</v>
      </c>
      <c r="AP49" s="123">
        <f t="shared" si="76"/>
        <v>0</v>
      </c>
      <c r="AQ49" s="123">
        <v>0</v>
      </c>
      <c r="AR49" s="450"/>
      <c r="AS49" s="388"/>
      <c r="AT49" s="121"/>
      <c r="AU49" s="121"/>
      <c r="AV49" s="155"/>
    </row>
    <row r="50" spans="1:48" s="31" customFormat="1" ht="48">
      <c r="A50" s="454"/>
      <c r="B50" s="322"/>
      <c r="C50" s="322"/>
      <c r="D50" s="225" t="s">
        <v>442</v>
      </c>
      <c r="E50" s="123">
        <f>H50+K50+N50+Q50+T50+W50+Z50+AC50+AF50+AI50+AL50+AO50</f>
        <v>0</v>
      </c>
      <c r="F50" s="123">
        <f>I50+L50+O50+R50+U50+X50+AA50+AD50+AG50+AJ50+AM50+AP50</f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23">
        <v>0</v>
      </c>
      <c r="AA50" s="123">
        <v>0</v>
      </c>
      <c r="AB50" s="123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23">
        <v>0</v>
      </c>
      <c r="AJ50" s="123">
        <v>0</v>
      </c>
      <c r="AK50" s="123">
        <v>0</v>
      </c>
      <c r="AL50" s="117">
        <v>0</v>
      </c>
      <c r="AM50" s="117">
        <v>0</v>
      </c>
      <c r="AN50" s="117">
        <v>0</v>
      </c>
      <c r="AO50" s="117">
        <v>0</v>
      </c>
      <c r="AP50" s="123">
        <v>0</v>
      </c>
      <c r="AQ50" s="123">
        <v>0</v>
      </c>
      <c r="AR50" s="451"/>
      <c r="AS50" s="389"/>
      <c r="AT50" s="121"/>
      <c r="AU50" s="121"/>
      <c r="AV50" s="155"/>
    </row>
    <row r="51" spans="1:48" s="31" customFormat="1" ht="12.75">
      <c r="A51" s="454"/>
      <c r="B51" s="322"/>
      <c r="C51" s="322"/>
      <c r="D51" s="225" t="s">
        <v>462</v>
      </c>
      <c r="E51" s="123">
        <f t="shared" ref="E51:F52" si="77">H51+K51+N51+Q51+T51+W51+Z51+AC51+AF51+AI51+AL51+AO51</f>
        <v>0</v>
      </c>
      <c r="F51" s="123">
        <f t="shared" si="77"/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0</v>
      </c>
      <c r="Y51" s="123">
        <v>0</v>
      </c>
      <c r="Z51" s="123">
        <v>0</v>
      </c>
      <c r="AA51" s="123">
        <v>0</v>
      </c>
      <c r="AB51" s="123">
        <v>0</v>
      </c>
      <c r="AC51" s="123">
        <v>0</v>
      </c>
      <c r="AD51" s="123">
        <v>0</v>
      </c>
      <c r="AE51" s="123">
        <v>0</v>
      </c>
      <c r="AF51" s="123">
        <v>0</v>
      </c>
      <c r="AG51" s="123"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23">
        <v>0</v>
      </c>
      <c r="AQ51" s="123">
        <v>0</v>
      </c>
      <c r="AR51" s="451"/>
      <c r="AS51" s="389"/>
      <c r="AT51" s="121"/>
      <c r="AU51" s="121"/>
      <c r="AV51" s="155"/>
    </row>
    <row r="52" spans="1:48" s="31" customFormat="1" ht="24">
      <c r="A52" s="454"/>
      <c r="B52" s="322"/>
      <c r="C52" s="322"/>
      <c r="D52" s="143" t="s">
        <v>257</v>
      </c>
      <c r="E52" s="123">
        <f t="shared" si="77"/>
        <v>0</v>
      </c>
      <c r="F52" s="123">
        <f t="shared" si="77"/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23">
        <v>0</v>
      </c>
      <c r="AA52" s="123">
        <v>0</v>
      </c>
      <c r="AB52" s="123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23">
        <v>0</v>
      </c>
      <c r="AJ52" s="123">
        <v>0</v>
      </c>
      <c r="AK52" s="123">
        <v>0</v>
      </c>
      <c r="AL52" s="117">
        <v>0</v>
      </c>
      <c r="AM52" s="117">
        <v>0</v>
      </c>
      <c r="AN52" s="117">
        <v>0</v>
      </c>
      <c r="AO52" s="117">
        <v>0</v>
      </c>
      <c r="AP52" s="123">
        <v>0</v>
      </c>
      <c r="AQ52" s="123">
        <v>0</v>
      </c>
      <c r="AR52" s="451"/>
      <c r="AS52" s="389"/>
      <c r="AT52" s="121"/>
      <c r="AU52" s="121"/>
      <c r="AV52" s="155"/>
    </row>
    <row r="53" spans="1:48" s="31" customFormat="1" ht="24">
      <c r="A53" s="455"/>
      <c r="B53" s="323"/>
      <c r="C53" s="323"/>
      <c r="D53" s="143" t="s">
        <v>469</v>
      </c>
      <c r="E53" s="123">
        <f>H53+K53+N53+Q53+T53+W53+Z53+AC53+AF53+AI53+AL53+AO53</f>
        <v>0</v>
      </c>
      <c r="F53" s="123">
        <f>I53+L53+O53+R53+U53+X53+AA53+AD53+AG53+AJ53+AM53+AP53</f>
        <v>0</v>
      </c>
      <c r="G53" s="123">
        <v>0</v>
      </c>
      <c r="H53" s="123">
        <v>0</v>
      </c>
      <c r="I53" s="123">
        <v>0</v>
      </c>
      <c r="J53" s="123">
        <v>0</v>
      </c>
      <c r="K53" s="150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17">
        <v>0</v>
      </c>
      <c r="U53" s="117">
        <v>0</v>
      </c>
      <c r="V53" s="123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23">
        <v>0</v>
      </c>
      <c r="AI53" s="123">
        <v>0</v>
      </c>
      <c r="AJ53" s="123">
        <v>0</v>
      </c>
      <c r="AK53" s="123">
        <v>0</v>
      </c>
      <c r="AL53" s="117">
        <v>0</v>
      </c>
      <c r="AM53" s="117">
        <v>0</v>
      </c>
      <c r="AN53" s="117">
        <v>0</v>
      </c>
      <c r="AO53" s="123">
        <v>0</v>
      </c>
      <c r="AP53" s="123">
        <v>0</v>
      </c>
      <c r="AQ53" s="123">
        <v>0</v>
      </c>
      <c r="AR53" s="452"/>
      <c r="AS53" s="390"/>
      <c r="AT53" s="121"/>
      <c r="AU53" s="121"/>
      <c r="AV53" s="155"/>
    </row>
    <row r="54" spans="1:48" s="100" customFormat="1" ht="209.25" customHeight="1">
      <c r="A54" s="248" t="s">
        <v>467</v>
      </c>
      <c r="B54" s="227" t="s">
        <v>477</v>
      </c>
      <c r="C54" s="247" t="s">
        <v>456</v>
      </c>
      <c r="D54" s="143" t="s">
        <v>443</v>
      </c>
      <c r="E54" s="149" t="s">
        <v>279</v>
      </c>
      <c r="F54" s="149" t="s">
        <v>279</v>
      </c>
      <c r="G54" s="149" t="s">
        <v>279</v>
      </c>
      <c r="H54" s="149" t="s">
        <v>279</v>
      </c>
      <c r="I54" s="149" t="s">
        <v>279</v>
      </c>
      <c r="J54" s="149" t="s">
        <v>279</v>
      </c>
      <c r="K54" s="149" t="s">
        <v>279</v>
      </c>
      <c r="L54" s="149" t="s">
        <v>279</v>
      </c>
      <c r="M54" s="149" t="s">
        <v>279</v>
      </c>
      <c r="N54" s="149" t="s">
        <v>279</v>
      </c>
      <c r="O54" s="149" t="s">
        <v>279</v>
      </c>
      <c r="P54" s="149" t="s">
        <v>279</v>
      </c>
      <c r="Q54" s="149" t="s">
        <v>279</v>
      </c>
      <c r="R54" s="149" t="s">
        <v>279</v>
      </c>
      <c r="S54" s="149" t="s">
        <v>279</v>
      </c>
      <c r="T54" s="149" t="s">
        <v>279</v>
      </c>
      <c r="U54" s="149" t="s">
        <v>279</v>
      </c>
      <c r="V54" s="149" t="s">
        <v>279</v>
      </c>
      <c r="W54" s="149" t="s">
        <v>279</v>
      </c>
      <c r="X54" s="149" t="s">
        <v>279</v>
      </c>
      <c r="Y54" s="149" t="s">
        <v>279</v>
      </c>
      <c r="Z54" s="149" t="s">
        <v>279</v>
      </c>
      <c r="AA54" s="149" t="s">
        <v>279</v>
      </c>
      <c r="AB54" s="149" t="s">
        <v>279</v>
      </c>
      <c r="AC54" s="149" t="s">
        <v>279</v>
      </c>
      <c r="AD54" s="149" t="s">
        <v>279</v>
      </c>
      <c r="AE54" s="149" t="s">
        <v>279</v>
      </c>
      <c r="AF54" s="149" t="s">
        <v>279</v>
      </c>
      <c r="AG54" s="149" t="s">
        <v>279</v>
      </c>
      <c r="AH54" s="149" t="s">
        <v>279</v>
      </c>
      <c r="AI54" s="149" t="s">
        <v>279</v>
      </c>
      <c r="AJ54" s="149" t="s">
        <v>279</v>
      </c>
      <c r="AK54" s="149" t="s">
        <v>279</v>
      </c>
      <c r="AL54" s="149" t="s">
        <v>279</v>
      </c>
      <c r="AM54" s="149" t="s">
        <v>279</v>
      </c>
      <c r="AN54" s="149" t="s">
        <v>279</v>
      </c>
      <c r="AO54" s="149" t="s">
        <v>279</v>
      </c>
      <c r="AP54" s="149"/>
      <c r="AQ54" s="149"/>
      <c r="AR54" s="212" t="s">
        <v>523</v>
      </c>
      <c r="AS54" s="134"/>
      <c r="AT54" s="121"/>
      <c r="AU54" s="121"/>
      <c r="AV54" s="155"/>
    </row>
    <row r="55" spans="1:48" s="100" customFormat="1" ht="12.75" customHeight="1">
      <c r="A55" s="438" t="s">
        <v>468</v>
      </c>
      <c r="B55" s="441" t="s">
        <v>446</v>
      </c>
      <c r="C55" s="442"/>
      <c r="D55" s="221" t="s">
        <v>444</v>
      </c>
      <c r="E55" s="149">
        <f>E56+E57+E58</f>
        <v>37338.700000000004</v>
      </c>
      <c r="F55" s="149">
        <f t="shared" ref="F55:AP55" si="78">F56+F57+F58</f>
        <v>37338.6</v>
      </c>
      <c r="G55" s="149">
        <f>F55/E55*100</f>
        <v>99.999732181356066</v>
      </c>
      <c r="H55" s="149">
        <f t="shared" si="78"/>
        <v>404.40000000000003</v>
      </c>
      <c r="I55" s="149">
        <f t="shared" si="78"/>
        <v>404.4</v>
      </c>
      <c r="J55" s="149">
        <f>I55/H55*100</f>
        <v>99.999999999999986</v>
      </c>
      <c r="K55" s="149">
        <f t="shared" si="78"/>
        <v>2571.3000000000002</v>
      </c>
      <c r="L55" s="149">
        <f t="shared" si="78"/>
        <v>2541</v>
      </c>
      <c r="M55" s="149">
        <f>L55/K55*100</f>
        <v>98.821607747054003</v>
      </c>
      <c r="N55" s="149">
        <f t="shared" si="78"/>
        <v>2207.3000000000002</v>
      </c>
      <c r="O55" s="149">
        <f t="shared" si="78"/>
        <v>2200.5</v>
      </c>
      <c r="P55" s="149">
        <f>O55/N55*100</f>
        <v>99.691931318805771</v>
      </c>
      <c r="Q55" s="149">
        <f t="shared" si="78"/>
        <v>3345.2</v>
      </c>
      <c r="R55" s="149">
        <f t="shared" si="78"/>
        <v>3327</v>
      </c>
      <c r="S55" s="149">
        <f>R55/Q55*100</f>
        <v>99.455936864761455</v>
      </c>
      <c r="T55" s="149">
        <f t="shared" si="78"/>
        <v>2458.9</v>
      </c>
      <c r="U55" s="149">
        <f t="shared" si="78"/>
        <v>2397.6</v>
      </c>
      <c r="V55" s="149">
        <f>U55/T55*100</f>
        <v>97.507015332059041</v>
      </c>
      <c r="W55" s="149">
        <f t="shared" si="78"/>
        <v>3293.9</v>
      </c>
      <c r="X55" s="149">
        <f t="shared" si="78"/>
        <v>2840.9</v>
      </c>
      <c r="Y55" s="149">
        <f>X55/W55*100</f>
        <v>86.247305625550268</v>
      </c>
      <c r="Z55" s="149">
        <f t="shared" si="78"/>
        <v>4483.1000000000004</v>
      </c>
      <c r="AA55" s="149">
        <f t="shared" si="78"/>
        <v>3985.4</v>
      </c>
      <c r="AB55" s="149">
        <f>AA55/Z55*100</f>
        <v>88.898306975084196</v>
      </c>
      <c r="AC55" s="149">
        <f t="shared" si="78"/>
        <v>3136.7</v>
      </c>
      <c r="AD55" s="149">
        <f t="shared" si="78"/>
        <v>2816.7999999999997</v>
      </c>
      <c r="AE55" s="149">
        <f>AD55/AC55*100</f>
        <v>89.801383619727744</v>
      </c>
      <c r="AF55" s="149">
        <f t="shared" si="78"/>
        <v>2242</v>
      </c>
      <c r="AG55" s="149">
        <f t="shared" si="78"/>
        <v>1978.8999999999999</v>
      </c>
      <c r="AH55" s="149">
        <f>AG55/AF55*100</f>
        <v>88.264942016057091</v>
      </c>
      <c r="AI55" s="149">
        <f t="shared" si="78"/>
        <v>2664.1000000000004</v>
      </c>
      <c r="AJ55" s="149">
        <f t="shared" si="78"/>
        <v>3757.2000000000003</v>
      </c>
      <c r="AK55" s="149">
        <f>AJ55/AI55*100</f>
        <v>141.03074208926088</v>
      </c>
      <c r="AL55" s="149">
        <f t="shared" si="78"/>
        <v>2434</v>
      </c>
      <c r="AM55" s="149">
        <f t="shared" si="78"/>
        <v>2655.2</v>
      </c>
      <c r="AN55" s="149">
        <f>AM55/AL55*100</f>
        <v>109.08792111750205</v>
      </c>
      <c r="AO55" s="149">
        <f t="shared" si="78"/>
        <v>8097.8</v>
      </c>
      <c r="AP55" s="149">
        <f t="shared" si="78"/>
        <v>8433.7000000000007</v>
      </c>
      <c r="AQ55" s="149">
        <f>AP55/AO55*100</f>
        <v>104.14804020845168</v>
      </c>
      <c r="AR55" s="309"/>
      <c r="AS55" s="350"/>
      <c r="AT55" s="121"/>
      <c r="AU55" s="121"/>
      <c r="AV55" s="155"/>
    </row>
    <row r="56" spans="1:48" s="100" customFormat="1" ht="48">
      <c r="A56" s="439"/>
      <c r="B56" s="443"/>
      <c r="C56" s="444"/>
      <c r="D56" s="222" t="s">
        <v>442</v>
      </c>
      <c r="E56" s="149">
        <f t="shared" ref="E56:F58" si="79">E62</f>
        <v>34672.400000000001</v>
      </c>
      <c r="F56" s="149">
        <f t="shared" si="79"/>
        <v>34672.400000000001</v>
      </c>
      <c r="G56" s="149">
        <f>F56/E56*100</f>
        <v>100</v>
      </c>
      <c r="H56" s="149">
        <f t="shared" ref="H56:I58" si="80">H62</f>
        <v>0</v>
      </c>
      <c r="I56" s="149">
        <f t="shared" si="80"/>
        <v>0</v>
      </c>
      <c r="J56" s="149">
        <v>0</v>
      </c>
      <c r="K56" s="149">
        <f t="shared" ref="K56:L58" si="81">K62</f>
        <v>2008</v>
      </c>
      <c r="L56" s="149">
        <f t="shared" si="81"/>
        <v>1977.7</v>
      </c>
      <c r="M56" s="149">
        <f t="shared" ref="M56:M57" si="82">L56/K56*100</f>
        <v>98.491035856573703</v>
      </c>
      <c r="N56" s="149">
        <f t="shared" ref="N56:O58" si="83">N62</f>
        <v>2185</v>
      </c>
      <c r="O56" s="149">
        <f t="shared" si="83"/>
        <v>2178.1999999999998</v>
      </c>
      <c r="P56" s="149">
        <f t="shared" ref="P56:P57" si="84">O56/N56*100</f>
        <v>99.688787185354684</v>
      </c>
      <c r="Q56" s="149">
        <f t="shared" ref="Q56:R58" si="85">Q62</f>
        <v>3302</v>
      </c>
      <c r="R56" s="149">
        <f t="shared" si="85"/>
        <v>3283.8</v>
      </c>
      <c r="S56" s="149">
        <f t="shared" ref="S56:S57" si="86">R56/Q56*100</f>
        <v>99.448818897637807</v>
      </c>
      <c r="T56" s="149">
        <f t="shared" ref="T56:AD58" si="87">T62</f>
        <v>1952</v>
      </c>
      <c r="U56" s="149">
        <f t="shared" si="87"/>
        <v>1890.7</v>
      </c>
      <c r="V56" s="149">
        <f t="shared" si="87"/>
        <v>96.859631147540981</v>
      </c>
      <c r="W56" s="149">
        <f t="shared" si="87"/>
        <v>3259</v>
      </c>
      <c r="X56" s="149">
        <f t="shared" si="87"/>
        <v>2806</v>
      </c>
      <c r="Y56" s="149">
        <f t="shared" si="87"/>
        <v>86.100030684258982</v>
      </c>
      <c r="Z56" s="149">
        <f t="shared" si="87"/>
        <v>4219</v>
      </c>
      <c r="AA56" s="149">
        <f t="shared" si="87"/>
        <v>3695.6</v>
      </c>
      <c r="AB56" s="149">
        <f t="shared" si="87"/>
        <v>87.594216639013979</v>
      </c>
      <c r="AC56" s="149">
        <f t="shared" si="87"/>
        <v>2865</v>
      </c>
      <c r="AD56" s="149">
        <f t="shared" si="87"/>
        <v>2545.1</v>
      </c>
      <c r="AE56" s="149">
        <f t="shared" ref="AE56:AE57" si="88">AD56/AC56*100</f>
        <v>88.83420593368237</v>
      </c>
      <c r="AF56" s="149">
        <f t="shared" ref="AF56:AQ58" si="89">AF62</f>
        <v>2242</v>
      </c>
      <c r="AG56" s="149">
        <f t="shared" si="89"/>
        <v>2013.1</v>
      </c>
      <c r="AH56" s="149">
        <f t="shared" si="89"/>
        <v>89.790365744870655</v>
      </c>
      <c r="AI56" s="149">
        <f t="shared" si="89"/>
        <v>2588.8000000000002</v>
      </c>
      <c r="AJ56" s="149">
        <f t="shared" si="89"/>
        <v>3681.9</v>
      </c>
      <c r="AK56" s="149">
        <f t="shared" si="89"/>
        <v>142.22419653893695</v>
      </c>
      <c r="AL56" s="149">
        <f>AL62</f>
        <v>2134</v>
      </c>
      <c r="AM56" s="149">
        <f t="shared" si="89"/>
        <v>2355.1999999999998</v>
      </c>
      <c r="AN56" s="149">
        <f>AN62</f>
        <v>110.36551077788191</v>
      </c>
      <c r="AO56" s="149">
        <f t="shared" si="89"/>
        <v>7917.6</v>
      </c>
      <c r="AP56" s="149">
        <f t="shared" si="89"/>
        <v>8245.1</v>
      </c>
      <c r="AQ56" s="149">
        <f t="shared" si="89"/>
        <v>104.13635445084368</v>
      </c>
      <c r="AR56" s="310"/>
      <c r="AS56" s="351"/>
      <c r="AT56" s="121"/>
      <c r="AU56" s="121"/>
      <c r="AV56" s="155"/>
    </row>
    <row r="57" spans="1:48" s="100" customFormat="1" ht="24">
      <c r="A57" s="439"/>
      <c r="B57" s="443"/>
      <c r="C57" s="444"/>
      <c r="D57" s="222" t="s">
        <v>463</v>
      </c>
      <c r="E57" s="149">
        <f t="shared" si="79"/>
        <v>2666.2999999999997</v>
      </c>
      <c r="F57" s="149">
        <f t="shared" si="79"/>
        <v>2666.2000000000003</v>
      </c>
      <c r="G57" s="149">
        <f>F57/E57*100</f>
        <v>99.996249484304116</v>
      </c>
      <c r="H57" s="149">
        <f t="shared" si="80"/>
        <v>404.40000000000003</v>
      </c>
      <c r="I57" s="149">
        <f t="shared" si="80"/>
        <v>404.4</v>
      </c>
      <c r="J57" s="149">
        <f t="shared" ref="J57" si="90">I57/H57*100</f>
        <v>99.999999999999986</v>
      </c>
      <c r="K57" s="149">
        <f t="shared" si="81"/>
        <v>563.29999999999995</v>
      </c>
      <c r="L57" s="149">
        <f t="shared" si="81"/>
        <v>563.29999999999995</v>
      </c>
      <c r="M57" s="149">
        <f t="shared" si="82"/>
        <v>100</v>
      </c>
      <c r="N57" s="149">
        <f t="shared" si="83"/>
        <v>22.3</v>
      </c>
      <c r="O57" s="149">
        <f t="shared" si="83"/>
        <v>22.3</v>
      </c>
      <c r="P57" s="149">
        <f t="shared" si="84"/>
        <v>100</v>
      </c>
      <c r="Q57" s="149">
        <f t="shared" si="85"/>
        <v>43.2</v>
      </c>
      <c r="R57" s="149">
        <f t="shared" si="85"/>
        <v>43.2</v>
      </c>
      <c r="S57" s="149">
        <f t="shared" si="86"/>
        <v>100</v>
      </c>
      <c r="T57" s="149">
        <f t="shared" si="87"/>
        <v>506.9</v>
      </c>
      <c r="U57" s="149">
        <f t="shared" si="87"/>
        <v>506.9</v>
      </c>
      <c r="V57" s="149">
        <f t="shared" si="87"/>
        <v>100</v>
      </c>
      <c r="W57" s="149">
        <f t="shared" si="87"/>
        <v>34.9</v>
      </c>
      <c r="X57" s="149">
        <f t="shared" si="87"/>
        <v>34.9</v>
      </c>
      <c r="Y57" s="149">
        <f t="shared" si="87"/>
        <v>100</v>
      </c>
      <c r="Z57" s="149">
        <f t="shared" si="87"/>
        <v>264.10000000000002</v>
      </c>
      <c r="AA57" s="149">
        <f t="shared" si="87"/>
        <v>289.8</v>
      </c>
      <c r="AB57" s="149">
        <f t="shared" si="87"/>
        <v>109.73116243847028</v>
      </c>
      <c r="AC57" s="149">
        <f t="shared" si="87"/>
        <v>271.7</v>
      </c>
      <c r="AD57" s="149">
        <f t="shared" si="87"/>
        <v>271.7</v>
      </c>
      <c r="AE57" s="149">
        <f t="shared" si="88"/>
        <v>100</v>
      </c>
      <c r="AF57" s="149">
        <f t="shared" si="89"/>
        <v>0</v>
      </c>
      <c r="AG57" s="149">
        <f t="shared" si="89"/>
        <v>-34.200000000000003</v>
      </c>
      <c r="AH57" s="149">
        <f t="shared" si="89"/>
        <v>0</v>
      </c>
      <c r="AI57" s="149">
        <f t="shared" si="89"/>
        <v>75.3</v>
      </c>
      <c r="AJ57" s="149">
        <f t="shared" si="89"/>
        <v>75.3</v>
      </c>
      <c r="AK57" s="149">
        <f t="shared" si="89"/>
        <v>100</v>
      </c>
      <c r="AL57" s="149">
        <f t="shared" si="89"/>
        <v>300</v>
      </c>
      <c r="AM57" s="149">
        <f t="shared" si="89"/>
        <v>300</v>
      </c>
      <c r="AN57" s="149">
        <f>AN63</f>
        <v>100</v>
      </c>
      <c r="AO57" s="149">
        <f t="shared" si="89"/>
        <v>180.2</v>
      </c>
      <c r="AP57" s="149">
        <f t="shared" si="89"/>
        <v>188.6</v>
      </c>
      <c r="AQ57" s="149">
        <f t="shared" si="89"/>
        <v>104.661487236404</v>
      </c>
      <c r="AR57" s="310"/>
      <c r="AS57" s="351"/>
      <c r="AT57" s="121"/>
      <c r="AU57" s="121"/>
      <c r="AV57" s="155"/>
    </row>
    <row r="58" spans="1:48" s="100" customFormat="1" ht="24">
      <c r="A58" s="439"/>
      <c r="B58" s="443"/>
      <c r="C58" s="444"/>
      <c r="D58" s="223" t="s">
        <v>257</v>
      </c>
      <c r="E58" s="149">
        <f t="shared" si="79"/>
        <v>0</v>
      </c>
      <c r="F58" s="149">
        <f t="shared" si="79"/>
        <v>0</v>
      </c>
      <c r="G58" s="149">
        <v>0</v>
      </c>
      <c r="H58" s="149">
        <f t="shared" si="80"/>
        <v>0</v>
      </c>
      <c r="I58" s="149">
        <f t="shared" si="80"/>
        <v>0</v>
      </c>
      <c r="J58" s="149">
        <v>0</v>
      </c>
      <c r="K58" s="149">
        <f t="shared" si="81"/>
        <v>0</v>
      </c>
      <c r="L58" s="149">
        <f t="shared" si="81"/>
        <v>0</v>
      </c>
      <c r="M58" s="149">
        <v>0</v>
      </c>
      <c r="N58" s="149">
        <f t="shared" si="83"/>
        <v>0</v>
      </c>
      <c r="O58" s="149">
        <f t="shared" si="83"/>
        <v>0</v>
      </c>
      <c r="P58" s="149">
        <f>P64</f>
        <v>0</v>
      </c>
      <c r="Q58" s="149">
        <f t="shared" si="85"/>
        <v>0</v>
      </c>
      <c r="R58" s="149">
        <f t="shared" si="85"/>
        <v>0</v>
      </c>
      <c r="S58" s="149">
        <v>0</v>
      </c>
      <c r="T58" s="149">
        <f t="shared" si="87"/>
        <v>0</v>
      </c>
      <c r="U58" s="149">
        <f t="shared" si="87"/>
        <v>0</v>
      </c>
      <c r="V58" s="149">
        <f t="shared" si="87"/>
        <v>0</v>
      </c>
      <c r="W58" s="149">
        <f t="shared" si="87"/>
        <v>0</v>
      </c>
      <c r="X58" s="149">
        <f t="shared" si="87"/>
        <v>0</v>
      </c>
      <c r="Y58" s="149">
        <f t="shared" si="87"/>
        <v>0</v>
      </c>
      <c r="Z58" s="149">
        <f t="shared" si="87"/>
        <v>0</v>
      </c>
      <c r="AA58" s="149">
        <f t="shared" si="87"/>
        <v>0</v>
      </c>
      <c r="AB58" s="149">
        <f t="shared" si="87"/>
        <v>0</v>
      </c>
      <c r="AC58" s="149">
        <f t="shared" si="87"/>
        <v>0</v>
      </c>
      <c r="AD58" s="149">
        <f t="shared" si="87"/>
        <v>0</v>
      </c>
      <c r="AE58" s="149">
        <f>AE64</f>
        <v>0</v>
      </c>
      <c r="AF58" s="149">
        <f t="shared" si="89"/>
        <v>0</v>
      </c>
      <c r="AG58" s="149">
        <f t="shared" si="89"/>
        <v>0</v>
      </c>
      <c r="AH58" s="149">
        <f t="shared" si="89"/>
        <v>0</v>
      </c>
      <c r="AI58" s="149">
        <f t="shared" si="89"/>
        <v>0</v>
      </c>
      <c r="AJ58" s="149">
        <f t="shared" si="89"/>
        <v>0</v>
      </c>
      <c r="AK58" s="149">
        <f t="shared" si="89"/>
        <v>0</v>
      </c>
      <c r="AL58" s="149">
        <f t="shared" si="89"/>
        <v>0</v>
      </c>
      <c r="AM58" s="149">
        <f t="shared" si="89"/>
        <v>0</v>
      </c>
      <c r="AN58" s="149">
        <f t="shared" si="89"/>
        <v>0</v>
      </c>
      <c r="AO58" s="149">
        <f t="shared" si="89"/>
        <v>0</v>
      </c>
      <c r="AP58" s="149">
        <f t="shared" si="89"/>
        <v>0</v>
      </c>
      <c r="AQ58" s="149">
        <f t="shared" si="89"/>
        <v>0</v>
      </c>
      <c r="AR58" s="310"/>
      <c r="AS58" s="351"/>
      <c r="AT58" s="121"/>
      <c r="AU58" s="121"/>
      <c r="AV58" s="155"/>
    </row>
    <row r="59" spans="1:48" s="100" customFormat="1" ht="24">
      <c r="A59" s="440"/>
      <c r="B59" s="445"/>
      <c r="C59" s="446"/>
      <c r="D59" s="223" t="s">
        <v>469</v>
      </c>
      <c r="E59" s="149">
        <f>H59+K59+N59+Q59+T59+W59+Z59+AC59+AF59+AI59+AL59+AO59</f>
        <v>0</v>
      </c>
      <c r="F59" s="149">
        <f>I59+L59+O59+R59+U59+X59+AA59+AD59+AG59+AJ59+AM59+AP59</f>
        <v>0</v>
      </c>
      <c r="G59" s="149">
        <v>0</v>
      </c>
      <c r="H59" s="149">
        <v>0</v>
      </c>
      <c r="I59" s="149">
        <v>0</v>
      </c>
      <c r="J59" s="149">
        <v>0</v>
      </c>
      <c r="K59" s="243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244">
        <v>0</v>
      </c>
      <c r="U59" s="244">
        <v>0</v>
      </c>
      <c r="V59" s="149">
        <v>0</v>
      </c>
      <c r="W59" s="244">
        <v>0</v>
      </c>
      <c r="X59" s="244">
        <v>0</v>
      </c>
      <c r="Y59" s="244">
        <v>0</v>
      </c>
      <c r="Z59" s="244">
        <v>0</v>
      </c>
      <c r="AA59" s="244">
        <v>0</v>
      </c>
      <c r="AB59" s="244">
        <v>0</v>
      </c>
      <c r="AC59" s="244">
        <v>0</v>
      </c>
      <c r="AD59" s="244">
        <v>0</v>
      </c>
      <c r="AE59" s="244">
        <v>0</v>
      </c>
      <c r="AF59" s="244">
        <v>0</v>
      </c>
      <c r="AG59" s="244">
        <v>0</v>
      </c>
      <c r="AH59" s="149">
        <v>0</v>
      </c>
      <c r="AI59" s="149">
        <v>0</v>
      </c>
      <c r="AJ59" s="149">
        <v>0</v>
      </c>
      <c r="AK59" s="149">
        <v>0</v>
      </c>
      <c r="AL59" s="244">
        <v>0</v>
      </c>
      <c r="AM59" s="244">
        <v>0</v>
      </c>
      <c r="AN59" s="244">
        <v>0</v>
      </c>
      <c r="AO59" s="149">
        <v>0</v>
      </c>
      <c r="AP59" s="149">
        <v>0</v>
      </c>
      <c r="AQ59" s="149">
        <v>0</v>
      </c>
      <c r="AR59" s="311"/>
      <c r="AS59" s="352"/>
      <c r="AT59" s="121"/>
      <c r="AU59" s="121"/>
      <c r="AV59" s="155"/>
    </row>
    <row r="60" spans="1:48" s="100" customFormat="1" ht="197.25" customHeight="1">
      <c r="A60" s="248" t="s">
        <v>7</v>
      </c>
      <c r="B60" s="227" t="s">
        <v>478</v>
      </c>
      <c r="C60" s="247" t="s">
        <v>349</v>
      </c>
      <c r="D60" s="143" t="s">
        <v>443</v>
      </c>
      <c r="E60" s="149" t="s">
        <v>279</v>
      </c>
      <c r="F60" s="149" t="s">
        <v>279</v>
      </c>
      <c r="G60" s="149" t="s">
        <v>279</v>
      </c>
      <c r="H60" s="149" t="s">
        <v>279</v>
      </c>
      <c r="I60" s="149" t="s">
        <v>279</v>
      </c>
      <c r="J60" s="149" t="s">
        <v>279</v>
      </c>
      <c r="K60" s="149" t="s">
        <v>279</v>
      </c>
      <c r="L60" s="149" t="s">
        <v>279</v>
      </c>
      <c r="M60" s="149" t="s">
        <v>279</v>
      </c>
      <c r="N60" s="149" t="s">
        <v>279</v>
      </c>
      <c r="O60" s="149" t="s">
        <v>279</v>
      </c>
      <c r="P60" s="149" t="s">
        <v>279</v>
      </c>
      <c r="Q60" s="149" t="s">
        <v>279</v>
      </c>
      <c r="R60" s="149" t="s">
        <v>279</v>
      </c>
      <c r="S60" s="149" t="s">
        <v>279</v>
      </c>
      <c r="T60" s="149" t="s">
        <v>279</v>
      </c>
      <c r="U60" s="149" t="s">
        <v>279</v>
      </c>
      <c r="V60" s="149" t="s">
        <v>279</v>
      </c>
      <c r="W60" s="149" t="s">
        <v>279</v>
      </c>
      <c r="X60" s="149" t="s">
        <v>279</v>
      </c>
      <c r="Y60" s="149" t="s">
        <v>279</v>
      </c>
      <c r="Z60" s="149" t="s">
        <v>279</v>
      </c>
      <c r="AA60" s="149" t="s">
        <v>279</v>
      </c>
      <c r="AB60" s="149" t="s">
        <v>279</v>
      </c>
      <c r="AC60" s="149" t="s">
        <v>279</v>
      </c>
      <c r="AD60" s="149" t="s">
        <v>279</v>
      </c>
      <c r="AE60" s="149" t="s">
        <v>279</v>
      </c>
      <c r="AF60" s="149" t="s">
        <v>279</v>
      </c>
      <c r="AG60" s="149" t="s">
        <v>279</v>
      </c>
      <c r="AH60" s="149" t="s">
        <v>279</v>
      </c>
      <c r="AI60" s="149" t="s">
        <v>279</v>
      </c>
      <c r="AJ60" s="149" t="s">
        <v>279</v>
      </c>
      <c r="AK60" s="149" t="s">
        <v>279</v>
      </c>
      <c r="AL60" s="149" t="s">
        <v>279</v>
      </c>
      <c r="AM60" s="149" t="s">
        <v>279</v>
      </c>
      <c r="AN60" s="149" t="s">
        <v>279</v>
      </c>
      <c r="AO60" s="149" t="s">
        <v>279</v>
      </c>
      <c r="AP60" s="149"/>
      <c r="AQ60" s="149"/>
      <c r="AR60" s="212" t="s">
        <v>513</v>
      </c>
      <c r="AS60" s="134"/>
      <c r="AT60" s="121"/>
      <c r="AU60" s="121"/>
      <c r="AV60" s="155"/>
    </row>
    <row r="61" spans="1:48" s="31" customFormat="1" ht="29.25" customHeight="1">
      <c r="A61" s="447" t="s">
        <v>8</v>
      </c>
      <c r="B61" s="321" t="s">
        <v>479</v>
      </c>
      <c r="C61" s="435" t="s">
        <v>453</v>
      </c>
      <c r="D61" s="224" t="s">
        <v>444</v>
      </c>
      <c r="E61" s="123">
        <f>SUM(E62:E64)</f>
        <v>37338.700000000004</v>
      </c>
      <c r="F61" s="123">
        <f t="shared" ref="F61" si="91">SUM(F62:F64)</f>
        <v>37338.6</v>
      </c>
      <c r="G61" s="123">
        <f>F61/E61*100</f>
        <v>99.999732181356066</v>
      </c>
      <c r="H61" s="132">
        <f>H62+H63+H64</f>
        <v>404.40000000000003</v>
      </c>
      <c r="I61" s="132">
        <f>I62+I63+I64</f>
        <v>404.4</v>
      </c>
      <c r="J61" s="123">
        <f t="shared" ref="J61:J63" si="92">I61/H61*100</f>
        <v>99.999999999999986</v>
      </c>
      <c r="K61" s="132">
        <f>K62+K63+K64</f>
        <v>2571.3000000000002</v>
      </c>
      <c r="L61" s="132">
        <f>L62+L63+L64</f>
        <v>2541</v>
      </c>
      <c r="M61" s="132">
        <f>L61/K61*100</f>
        <v>98.821607747054003</v>
      </c>
      <c r="N61" s="132">
        <f>N62+N63+N64</f>
        <v>2207.3000000000002</v>
      </c>
      <c r="O61" s="132">
        <f>O62+O63+O64</f>
        <v>2200.5</v>
      </c>
      <c r="P61" s="123">
        <f t="shared" ref="P61" si="93">O61/N61*100</f>
        <v>99.691931318805771</v>
      </c>
      <c r="Q61" s="132">
        <f>Q62+Q63+Q64</f>
        <v>3345.2</v>
      </c>
      <c r="R61" s="132">
        <f>R62+R63+R64</f>
        <v>3327</v>
      </c>
      <c r="S61" s="132">
        <f>R61/Q61*100</f>
        <v>99.455936864761455</v>
      </c>
      <c r="T61" s="132">
        <f t="shared" ref="T61:AP61" si="94">T62+T63+T64</f>
        <v>2458.9</v>
      </c>
      <c r="U61" s="132">
        <f t="shared" si="94"/>
        <v>2397.6</v>
      </c>
      <c r="V61" s="132">
        <f>U61/T61*100</f>
        <v>97.507015332059041</v>
      </c>
      <c r="W61" s="132">
        <f t="shared" si="94"/>
        <v>3293.9</v>
      </c>
      <c r="X61" s="132">
        <f t="shared" si="94"/>
        <v>2840.9</v>
      </c>
      <c r="Y61" s="132">
        <f>X61/W61*100</f>
        <v>86.247305625550268</v>
      </c>
      <c r="Z61" s="132">
        <f t="shared" si="94"/>
        <v>4483.1000000000004</v>
      </c>
      <c r="AA61" s="132">
        <f t="shared" si="94"/>
        <v>3985.4</v>
      </c>
      <c r="AB61" s="132">
        <f>AA61/Z61*100</f>
        <v>88.898306975084196</v>
      </c>
      <c r="AC61" s="132">
        <f t="shared" si="94"/>
        <v>3136.7</v>
      </c>
      <c r="AD61" s="132">
        <f t="shared" si="94"/>
        <v>2816.7999999999997</v>
      </c>
      <c r="AE61" s="132">
        <f>AD61/AC61*100</f>
        <v>89.801383619727744</v>
      </c>
      <c r="AF61" s="132">
        <f t="shared" si="94"/>
        <v>2242</v>
      </c>
      <c r="AG61" s="132">
        <f t="shared" si="94"/>
        <v>1978.8999999999999</v>
      </c>
      <c r="AH61" s="117">
        <f>AG61/AF61*100</f>
        <v>88.264942016057091</v>
      </c>
      <c r="AI61" s="132">
        <f t="shared" si="94"/>
        <v>2664.1000000000004</v>
      </c>
      <c r="AJ61" s="132">
        <f t="shared" si="94"/>
        <v>3757.2000000000003</v>
      </c>
      <c r="AK61" s="117">
        <f>AJ61/AI61*100</f>
        <v>141.03074208926088</v>
      </c>
      <c r="AL61" s="132">
        <f t="shared" si="94"/>
        <v>2434</v>
      </c>
      <c r="AM61" s="132">
        <f t="shared" si="94"/>
        <v>2655.2</v>
      </c>
      <c r="AN61" s="117">
        <f>AM61/AL61*100</f>
        <v>109.08792111750205</v>
      </c>
      <c r="AO61" s="132">
        <f t="shared" si="94"/>
        <v>8097.8</v>
      </c>
      <c r="AP61" s="132">
        <f t="shared" si="94"/>
        <v>8433.7000000000007</v>
      </c>
      <c r="AQ61" s="117">
        <f>AP61/AO61*100</f>
        <v>104.14804020845168</v>
      </c>
      <c r="AR61" s="369" t="s">
        <v>514</v>
      </c>
      <c r="AS61" s="388"/>
      <c r="AT61" s="121"/>
      <c r="AU61" s="121"/>
      <c r="AV61" s="155"/>
    </row>
    <row r="62" spans="1:48" s="31" customFormat="1" ht="67.5" customHeight="1">
      <c r="A62" s="448"/>
      <c r="B62" s="322"/>
      <c r="C62" s="436"/>
      <c r="D62" s="225" t="s">
        <v>442</v>
      </c>
      <c r="E62" s="123">
        <f>H62+K62+N62+Q62+T62+W62+Z62+AC62+AF62+AI62+AL62+AO62</f>
        <v>34672.400000000001</v>
      </c>
      <c r="F62" s="123">
        <f>I62+L62+O62+R62+U62+X62+AA62+AD62+AG62+AJ62+AM62+AP62</f>
        <v>34672.400000000001</v>
      </c>
      <c r="G62" s="123">
        <f>F62/E62*100</f>
        <v>100</v>
      </c>
      <c r="H62" s="123">
        <v>0</v>
      </c>
      <c r="I62" s="123">
        <v>0</v>
      </c>
      <c r="J62" s="123">
        <v>0</v>
      </c>
      <c r="K62" s="150">
        <f>1400+608</f>
        <v>2008</v>
      </c>
      <c r="L62" s="123">
        <v>1977.7</v>
      </c>
      <c r="M62" s="138">
        <f t="shared" ref="M62:M63" si="95">L62/K62*100</f>
        <v>98.491035856573703</v>
      </c>
      <c r="N62" s="123">
        <f>1600+585</f>
        <v>2185</v>
      </c>
      <c r="O62" s="123">
        <v>2178.1999999999998</v>
      </c>
      <c r="P62" s="123">
        <f>O62/N62*100</f>
        <v>99.688787185354684</v>
      </c>
      <c r="Q62" s="123">
        <f>2400+902</f>
        <v>3302</v>
      </c>
      <c r="R62" s="123">
        <v>3283.8</v>
      </c>
      <c r="S62" s="132">
        <f t="shared" ref="S62:S63" si="96">R62/Q62*100</f>
        <v>99.448818897637807</v>
      </c>
      <c r="T62" s="117">
        <f>1400+552</f>
        <v>1952</v>
      </c>
      <c r="U62" s="117">
        <v>1890.7</v>
      </c>
      <c r="V62" s="132">
        <f t="shared" ref="V62:V63" si="97">U62/T62*100</f>
        <v>96.859631147540981</v>
      </c>
      <c r="W62" s="117">
        <f>2350+909</f>
        <v>3259</v>
      </c>
      <c r="X62" s="117">
        <v>2806</v>
      </c>
      <c r="Y62" s="117">
        <f>X62/W62*100</f>
        <v>86.100030684258982</v>
      </c>
      <c r="Z62" s="117">
        <f>2850+1369</f>
        <v>4219</v>
      </c>
      <c r="AA62" s="117">
        <v>3695.6</v>
      </c>
      <c r="AB62" s="117">
        <f>AA62/Z62*100</f>
        <v>87.594216639013979</v>
      </c>
      <c r="AC62" s="117">
        <f>1965+900</f>
        <v>2865</v>
      </c>
      <c r="AD62" s="117">
        <v>2545.1</v>
      </c>
      <c r="AE62" s="117">
        <f>AD62/AC62*100</f>
        <v>88.83420593368237</v>
      </c>
      <c r="AF62" s="117">
        <f>1700+542</f>
        <v>2242</v>
      </c>
      <c r="AG62" s="117">
        <v>2013.1</v>
      </c>
      <c r="AH62" s="117">
        <f>AG62/AF62*100</f>
        <v>89.790365744870655</v>
      </c>
      <c r="AI62" s="123">
        <f>1900+688.8</f>
        <v>2588.8000000000002</v>
      </c>
      <c r="AJ62" s="123">
        <v>3681.9</v>
      </c>
      <c r="AK62" s="123">
        <f>AJ62/AI62*100</f>
        <v>142.22419653893695</v>
      </c>
      <c r="AL62" s="117">
        <f>1600+534</f>
        <v>2134</v>
      </c>
      <c r="AM62" s="117">
        <v>2355.1999999999998</v>
      </c>
      <c r="AN62" s="117">
        <f>AM62/AL62*100</f>
        <v>110.36551077788191</v>
      </c>
      <c r="AO62" s="123">
        <f>1800+4503.3+1614.3</f>
        <v>7917.6</v>
      </c>
      <c r="AP62" s="123">
        <v>8245.1</v>
      </c>
      <c r="AQ62" s="123">
        <f>AP62/AO62*100</f>
        <v>104.13635445084368</v>
      </c>
      <c r="AR62" s="370"/>
      <c r="AS62" s="389"/>
      <c r="AT62" s="121"/>
      <c r="AU62" s="121"/>
      <c r="AV62" s="155"/>
    </row>
    <row r="63" spans="1:48" s="31" customFormat="1" ht="60.75" customHeight="1">
      <c r="A63" s="448"/>
      <c r="B63" s="322"/>
      <c r="C63" s="436"/>
      <c r="D63" s="225" t="s">
        <v>463</v>
      </c>
      <c r="E63" s="123">
        <f t="shared" ref="E63:F64" si="98">H63+K63+N63+Q63+T63+W63+Z63+AC63+AF63+AI63+AL63+AO63</f>
        <v>2666.2999999999997</v>
      </c>
      <c r="F63" s="123">
        <f t="shared" si="98"/>
        <v>2666.2000000000003</v>
      </c>
      <c r="G63" s="123">
        <f>F63/E63*100</f>
        <v>99.996249484304116</v>
      </c>
      <c r="H63" s="123">
        <f>590-22.3-163.3</f>
        <v>404.40000000000003</v>
      </c>
      <c r="I63" s="123">
        <v>404.4</v>
      </c>
      <c r="J63" s="123">
        <f t="shared" si="92"/>
        <v>99.999999999999986</v>
      </c>
      <c r="K63" s="150">
        <f>400+163.3</f>
        <v>563.29999999999995</v>
      </c>
      <c r="L63" s="123">
        <v>563.29999999999995</v>
      </c>
      <c r="M63" s="138">
        <f t="shared" si="95"/>
        <v>100</v>
      </c>
      <c r="N63" s="123">
        <v>22.3</v>
      </c>
      <c r="O63" s="123">
        <v>22.3</v>
      </c>
      <c r="P63" s="123">
        <f>O63/N63*100</f>
        <v>100</v>
      </c>
      <c r="Q63" s="123">
        <v>43.2</v>
      </c>
      <c r="R63" s="123">
        <v>43.2</v>
      </c>
      <c r="S63" s="132">
        <f t="shared" si="96"/>
        <v>100</v>
      </c>
      <c r="T63" s="117">
        <v>506.9</v>
      </c>
      <c r="U63" s="117">
        <v>506.9</v>
      </c>
      <c r="V63" s="132">
        <f t="shared" si="97"/>
        <v>100</v>
      </c>
      <c r="W63" s="117">
        <v>34.9</v>
      </c>
      <c r="X63" s="117">
        <v>34.9</v>
      </c>
      <c r="Y63" s="117">
        <f>X63/W63*100</f>
        <v>100</v>
      </c>
      <c r="Z63" s="117">
        <f>150+100+14.1</f>
        <v>264.10000000000002</v>
      </c>
      <c r="AA63" s="117">
        <v>289.8</v>
      </c>
      <c r="AB63" s="117">
        <f>AA63/Z63*100</f>
        <v>109.73116243847028</v>
      </c>
      <c r="AC63" s="117">
        <f>435-49.2-100-14.1</f>
        <v>271.7</v>
      </c>
      <c r="AD63" s="117">
        <v>271.7</v>
      </c>
      <c r="AE63" s="117">
        <f>AD63/AC63*100</f>
        <v>100</v>
      </c>
      <c r="AF63" s="117">
        <v>0</v>
      </c>
      <c r="AG63" s="117">
        <v>-34.200000000000003</v>
      </c>
      <c r="AH63" s="117">
        <v>0</v>
      </c>
      <c r="AI63" s="123">
        <v>75.3</v>
      </c>
      <c r="AJ63" s="123">
        <v>75.3</v>
      </c>
      <c r="AK63" s="123">
        <f>AJ63/AI63*100</f>
        <v>100</v>
      </c>
      <c r="AL63" s="117">
        <v>300</v>
      </c>
      <c r="AM63" s="117">
        <v>300</v>
      </c>
      <c r="AN63" s="117">
        <f>AM63/AL63*100</f>
        <v>100</v>
      </c>
      <c r="AO63" s="123">
        <v>180.2</v>
      </c>
      <c r="AP63" s="123">
        <v>188.6</v>
      </c>
      <c r="AQ63" s="123">
        <f>AP63/AO63*100</f>
        <v>104.661487236404</v>
      </c>
      <c r="AR63" s="370"/>
      <c r="AS63" s="389"/>
      <c r="AT63" s="121"/>
      <c r="AU63" s="121"/>
      <c r="AV63" s="155"/>
    </row>
    <row r="64" spans="1:48" s="31" customFormat="1" ht="39.75" customHeight="1">
      <c r="A64" s="448"/>
      <c r="B64" s="322"/>
      <c r="C64" s="436"/>
      <c r="D64" s="143" t="s">
        <v>257</v>
      </c>
      <c r="E64" s="123">
        <f t="shared" si="98"/>
        <v>0</v>
      </c>
      <c r="F64" s="123">
        <f t="shared" si="98"/>
        <v>0</v>
      </c>
      <c r="G64" s="123">
        <v>0</v>
      </c>
      <c r="H64" s="123">
        <v>0</v>
      </c>
      <c r="I64" s="123">
        <v>0</v>
      </c>
      <c r="J64" s="123">
        <v>0</v>
      </c>
      <c r="K64" s="150">
        <v>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  <c r="Q64" s="123">
        <v>0</v>
      </c>
      <c r="R64" s="123">
        <v>0</v>
      </c>
      <c r="S64" s="138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23">
        <v>0</v>
      </c>
      <c r="AJ64" s="123">
        <v>0</v>
      </c>
      <c r="AK64" s="123">
        <v>0</v>
      </c>
      <c r="AL64" s="117">
        <v>0</v>
      </c>
      <c r="AM64" s="117">
        <v>0</v>
      </c>
      <c r="AN64" s="117">
        <v>0</v>
      </c>
      <c r="AO64" s="123">
        <v>0</v>
      </c>
      <c r="AP64" s="123">
        <v>0</v>
      </c>
      <c r="AQ64" s="123">
        <v>0</v>
      </c>
      <c r="AR64" s="370"/>
      <c r="AS64" s="389"/>
      <c r="AT64" s="121"/>
      <c r="AU64" s="121"/>
      <c r="AV64" s="155"/>
    </row>
    <row r="65" spans="1:48" s="31" customFormat="1" ht="36" customHeight="1">
      <c r="A65" s="449"/>
      <c r="B65" s="323"/>
      <c r="C65" s="437"/>
      <c r="D65" s="143" t="s">
        <v>469</v>
      </c>
      <c r="E65" s="123">
        <f>H65+K65+N65+Q65+T65+W65+Z65+AC65+AF65+AI65+AL65+AO65</f>
        <v>0</v>
      </c>
      <c r="F65" s="123">
        <f>I65+L65+O65+R65+U65+X65+AA65+AD65+AG65+AJ65+AM65+AP65</f>
        <v>0</v>
      </c>
      <c r="G65" s="123">
        <v>0</v>
      </c>
      <c r="H65" s="123">
        <v>0</v>
      </c>
      <c r="I65" s="123">
        <v>0</v>
      </c>
      <c r="J65" s="123">
        <v>0</v>
      </c>
      <c r="K65" s="150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17">
        <v>0</v>
      </c>
      <c r="U65" s="117">
        <v>0</v>
      </c>
      <c r="V65" s="123">
        <v>0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0</v>
      </c>
      <c r="AG65" s="117">
        <v>0</v>
      </c>
      <c r="AH65" s="123">
        <v>0</v>
      </c>
      <c r="AI65" s="123">
        <v>0</v>
      </c>
      <c r="AJ65" s="123">
        <v>0</v>
      </c>
      <c r="AK65" s="123">
        <v>0</v>
      </c>
      <c r="AL65" s="117">
        <v>0</v>
      </c>
      <c r="AM65" s="117">
        <v>0</v>
      </c>
      <c r="AN65" s="117">
        <v>0</v>
      </c>
      <c r="AO65" s="123">
        <v>0</v>
      </c>
      <c r="AP65" s="123">
        <v>0</v>
      </c>
      <c r="AQ65" s="123">
        <v>0</v>
      </c>
      <c r="AR65" s="371"/>
      <c r="AS65" s="390"/>
      <c r="AT65" s="121"/>
      <c r="AU65" s="121"/>
      <c r="AV65" s="155"/>
    </row>
    <row r="66" spans="1:48" s="100" customFormat="1" ht="12.75" customHeight="1">
      <c r="A66" s="438" t="s">
        <v>480</v>
      </c>
      <c r="B66" s="441" t="s">
        <v>447</v>
      </c>
      <c r="C66" s="442"/>
      <c r="D66" s="221" t="s">
        <v>444</v>
      </c>
      <c r="E66" s="149">
        <f>E67+E68+E69</f>
        <v>619.20000000000005</v>
      </c>
      <c r="F66" s="149">
        <f t="shared" ref="F66:AQ66" si="99">F67+F68+F69</f>
        <v>619.1</v>
      </c>
      <c r="G66" s="149">
        <f>F66/E66*100</f>
        <v>99.983850129198956</v>
      </c>
      <c r="H66" s="149">
        <f t="shared" si="99"/>
        <v>0</v>
      </c>
      <c r="I66" s="149">
        <f t="shared" si="99"/>
        <v>0</v>
      </c>
      <c r="J66" s="149">
        <v>0</v>
      </c>
      <c r="K66" s="149">
        <f t="shared" si="99"/>
        <v>67.5</v>
      </c>
      <c r="L66" s="149">
        <f t="shared" si="99"/>
        <v>67.5</v>
      </c>
      <c r="M66" s="149">
        <f>L66/K66*100</f>
        <v>100</v>
      </c>
      <c r="N66" s="149">
        <f t="shared" si="99"/>
        <v>4.0999999999999996</v>
      </c>
      <c r="O66" s="149">
        <f t="shared" si="99"/>
        <v>4.0999999999999996</v>
      </c>
      <c r="P66" s="149">
        <f>O66/N66*100</f>
        <v>100</v>
      </c>
      <c r="Q66" s="149">
        <f t="shared" si="99"/>
        <v>59.6</v>
      </c>
      <c r="R66" s="149">
        <f t="shared" si="99"/>
        <v>59.6</v>
      </c>
      <c r="S66" s="149">
        <f t="shared" ref="F66:AQ69" si="100">S73</f>
        <v>100</v>
      </c>
      <c r="T66" s="149">
        <f t="shared" si="99"/>
        <v>95</v>
      </c>
      <c r="U66" s="149">
        <f t="shared" si="99"/>
        <v>95</v>
      </c>
      <c r="V66" s="149">
        <f t="shared" si="99"/>
        <v>100</v>
      </c>
      <c r="W66" s="149">
        <f t="shared" si="99"/>
        <v>115.00000000000001</v>
      </c>
      <c r="X66" s="149">
        <f t="shared" si="99"/>
        <v>47.3</v>
      </c>
      <c r="Y66" s="149">
        <f t="shared" si="99"/>
        <v>41.130434782608688</v>
      </c>
      <c r="Z66" s="149">
        <f t="shared" si="99"/>
        <v>16.100000000000001</v>
      </c>
      <c r="AA66" s="149">
        <f t="shared" si="99"/>
        <v>16.100000000000001</v>
      </c>
      <c r="AB66" s="149">
        <f t="shared" si="99"/>
        <v>100</v>
      </c>
      <c r="AC66" s="149">
        <f t="shared" si="99"/>
        <v>36</v>
      </c>
      <c r="AD66" s="149">
        <f t="shared" si="99"/>
        <v>36</v>
      </c>
      <c r="AE66" s="149">
        <f t="shared" si="99"/>
        <v>100</v>
      </c>
      <c r="AF66" s="149">
        <f t="shared" si="99"/>
        <v>83.3</v>
      </c>
      <c r="AG66" s="149">
        <f t="shared" si="99"/>
        <v>33.4</v>
      </c>
      <c r="AH66" s="149">
        <f t="shared" si="99"/>
        <v>40.096038415366145</v>
      </c>
      <c r="AI66" s="149">
        <f t="shared" si="99"/>
        <v>142.6</v>
      </c>
      <c r="AJ66" s="149">
        <f t="shared" si="99"/>
        <v>241.4</v>
      </c>
      <c r="AK66" s="149">
        <f t="shared" si="99"/>
        <v>169.28471248246845</v>
      </c>
      <c r="AL66" s="149">
        <f t="shared" si="99"/>
        <v>0</v>
      </c>
      <c r="AM66" s="149">
        <f t="shared" si="99"/>
        <v>10.7</v>
      </c>
      <c r="AN66" s="149">
        <f t="shared" si="99"/>
        <v>100</v>
      </c>
      <c r="AO66" s="149">
        <f t="shared" si="99"/>
        <v>0</v>
      </c>
      <c r="AP66" s="149">
        <f t="shared" si="99"/>
        <v>8</v>
      </c>
      <c r="AQ66" s="149">
        <f t="shared" si="99"/>
        <v>100</v>
      </c>
      <c r="AR66" s="309"/>
      <c r="AS66" s="350"/>
      <c r="AT66" s="121"/>
      <c r="AU66" s="121"/>
      <c r="AV66" s="155"/>
    </row>
    <row r="67" spans="1:48" s="100" customFormat="1" ht="48">
      <c r="A67" s="439"/>
      <c r="B67" s="443"/>
      <c r="C67" s="444"/>
      <c r="D67" s="222" t="s">
        <v>442</v>
      </c>
      <c r="E67" s="149">
        <f>E74</f>
        <v>0</v>
      </c>
      <c r="F67" s="149">
        <f t="shared" si="100"/>
        <v>0</v>
      </c>
      <c r="G67" s="149">
        <v>0</v>
      </c>
      <c r="H67" s="149">
        <f t="shared" si="100"/>
        <v>0</v>
      </c>
      <c r="I67" s="149">
        <f t="shared" si="100"/>
        <v>0</v>
      </c>
      <c r="J67" s="149">
        <v>0</v>
      </c>
      <c r="K67" s="149">
        <f t="shared" si="100"/>
        <v>0</v>
      </c>
      <c r="L67" s="149">
        <f t="shared" si="100"/>
        <v>0</v>
      </c>
      <c r="M67" s="149">
        <v>0</v>
      </c>
      <c r="N67" s="149">
        <f t="shared" si="100"/>
        <v>0</v>
      </c>
      <c r="O67" s="149">
        <f t="shared" si="100"/>
        <v>0</v>
      </c>
      <c r="P67" s="149">
        <v>0</v>
      </c>
      <c r="Q67" s="149">
        <f t="shared" si="100"/>
        <v>0</v>
      </c>
      <c r="R67" s="149">
        <f t="shared" si="100"/>
        <v>0</v>
      </c>
      <c r="S67" s="149">
        <f t="shared" si="100"/>
        <v>0</v>
      </c>
      <c r="T67" s="149">
        <f t="shared" si="100"/>
        <v>0</v>
      </c>
      <c r="U67" s="149">
        <f t="shared" si="100"/>
        <v>0</v>
      </c>
      <c r="V67" s="149">
        <f t="shared" si="100"/>
        <v>0</v>
      </c>
      <c r="W67" s="149">
        <f t="shared" si="100"/>
        <v>0</v>
      </c>
      <c r="X67" s="149">
        <f t="shared" si="100"/>
        <v>0</v>
      </c>
      <c r="Y67" s="149">
        <f t="shared" si="100"/>
        <v>0</v>
      </c>
      <c r="Z67" s="149">
        <f t="shared" si="100"/>
        <v>0</v>
      </c>
      <c r="AA67" s="149">
        <f t="shared" si="100"/>
        <v>0</v>
      </c>
      <c r="AB67" s="149">
        <f t="shared" si="100"/>
        <v>0</v>
      </c>
      <c r="AC67" s="149">
        <f t="shared" si="100"/>
        <v>0</v>
      </c>
      <c r="AD67" s="149">
        <f t="shared" si="100"/>
        <v>0</v>
      </c>
      <c r="AE67" s="149">
        <f t="shared" si="100"/>
        <v>0</v>
      </c>
      <c r="AF67" s="149">
        <f t="shared" si="100"/>
        <v>0</v>
      </c>
      <c r="AG67" s="149">
        <f t="shared" si="100"/>
        <v>0</v>
      </c>
      <c r="AH67" s="149">
        <f t="shared" si="100"/>
        <v>0</v>
      </c>
      <c r="AI67" s="149">
        <f t="shared" si="100"/>
        <v>0</v>
      </c>
      <c r="AJ67" s="149">
        <f t="shared" si="100"/>
        <v>0</v>
      </c>
      <c r="AK67" s="149">
        <f t="shared" si="100"/>
        <v>0</v>
      </c>
      <c r="AL67" s="149">
        <f t="shared" si="100"/>
        <v>0</v>
      </c>
      <c r="AM67" s="149">
        <f t="shared" si="100"/>
        <v>0</v>
      </c>
      <c r="AN67" s="149">
        <f t="shared" si="100"/>
        <v>0</v>
      </c>
      <c r="AO67" s="149">
        <f t="shared" si="100"/>
        <v>0</v>
      </c>
      <c r="AP67" s="149">
        <f t="shared" si="100"/>
        <v>0</v>
      </c>
      <c r="AQ67" s="149">
        <f t="shared" si="100"/>
        <v>0</v>
      </c>
      <c r="AR67" s="310"/>
      <c r="AS67" s="351"/>
      <c r="AT67" s="121"/>
      <c r="AU67" s="121"/>
      <c r="AV67" s="155"/>
    </row>
    <row r="68" spans="1:48" s="100" customFormat="1" ht="14.25" customHeight="1">
      <c r="A68" s="439"/>
      <c r="B68" s="443"/>
      <c r="C68" s="444"/>
      <c r="D68" s="222" t="s">
        <v>463</v>
      </c>
      <c r="E68" s="149">
        <f>E75</f>
        <v>619.20000000000005</v>
      </c>
      <c r="F68" s="149">
        <f t="shared" si="100"/>
        <v>619.1</v>
      </c>
      <c r="G68" s="149">
        <f>F68/E68*100</f>
        <v>99.983850129198956</v>
      </c>
      <c r="H68" s="149">
        <f t="shared" si="100"/>
        <v>0</v>
      </c>
      <c r="I68" s="149">
        <f t="shared" si="100"/>
        <v>0</v>
      </c>
      <c r="J68" s="149">
        <v>0</v>
      </c>
      <c r="K68" s="149">
        <f t="shared" si="100"/>
        <v>67.5</v>
      </c>
      <c r="L68" s="149">
        <f t="shared" si="100"/>
        <v>67.5</v>
      </c>
      <c r="M68" s="149">
        <f>L68/K68*100</f>
        <v>100</v>
      </c>
      <c r="N68" s="149">
        <f t="shared" si="100"/>
        <v>4.0999999999999996</v>
      </c>
      <c r="O68" s="149">
        <f t="shared" si="100"/>
        <v>4.0999999999999996</v>
      </c>
      <c r="P68" s="149">
        <f>O68/N68*100</f>
        <v>100</v>
      </c>
      <c r="Q68" s="149">
        <f t="shared" si="100"/>
        <v>59.6</v>
      </c>
      <c r="R68" s="149">
        <f t="shared" si="100"/>
        <v>59.6</v>
      </c>
      <c r="S68" s="149">
        <f t="shared" si="100"/>
        <v>100</v>
      </c>
      <c r="T68" s="149">
        <f t="shared" si="100"/>
        <v>95</v>
      </c>
      <c r="U68" s="149">
        <f t="shared" si="100"/>
        <v>95</v>
      </c>
      <c r="V68" s="149">
        <f t="shared" si="100"/>
        <v>100</v>
      </c>
      <c r="W68" s="149">
        <f t="shared" si="100"/>
        <v>115.00000000000001</v>
      </c>
      <c r="X68" s="149">
        <f t="shared" si="100"/>
        <v>47.3</v>
      </c>
      <c r="Y68" s="149">
        <f t="shared" si="100"/>
        <v>41.130434782608688</v>
      </c>
      <c r="Z68" s="149">
        <f t="shared" si="100"/>
        <v>16.100000000000001</v>
      </c>
      <c r="AA68" s="149">
        <f t="shared" si="100"/>
        <v>16.100000000000001</v>
      </c>
      <c r="AB68" s="149">
        <f t="shared" si="100"/>
        <v>100</v>
      </c>
      <c r="AC68" s="149">
        <f t="shared" si="100"/>
        <v>36</v>
      </c>
      <c r="AD68" s="149">
        <f t="shared" si="100"/>
        <v>36</v>
      </c>
      <c r="AE68" s="149">
        <f t="shared" si="100"/>
        <v>100</v>
      </c>
      <c r="AF68" s="149">
        <f t="shared" si="100"/>
        <v>83.3</v>
      </c>
      <c r="AG68" s="149">
        <f t="shared" si="100"/>
        <v>33.4</v>
      </c>
      <c r="AH68" s="149">
        <f t="shared" si="100"/>
        <v>40.096038415366145</v>
      </c>
      <c r="AI68" s="149">
        <f>AI75</f>
        <v>142.6</v>
      </c>
      <c r="AJ68" s="149">
        <f t="shared" si="100"/>
        <v>241.4</v>
      </c>
      <c r="AK68" s="149">
        <f t="shared" si="100"/>
        <v>169.28471248246845</v>
      </c>
      <c r="AL68" s="149">
        <f t="shared" si="100"/>
        <v>0</v>
      </c>
      <c r="AM68" s="149">
        <f t="shared" si="100"/>
        <v>10.7</v>
      </c>
      <c r="AN68" s="149">
        <f t="shared" si="100"/>
        <v>100</v>
      </c>
      <c r="AO68" s="149">
        <f t="shared" si="100"/>
        <v>0</v>
      </c>
      <c r="AP68" s="149">
        <f t="shared" si="100"/>
        <v>8</v>
      </c>
      <c r="AQ68" s="149">
        <f t="shared" si="100"/>
        <v>100</v>
      </c>
      <c r="AR68" s="310"/>
      <c r="AS68" s="351"/>
      <c r="AT68" s="121"/>
      <c r="AU68" s="121"/>
      <c r="AV68" s="155"/>
    </row>
    <row r="69" spans="1:48" s="100" customFormat="1" ht="24">
      <c r="A69" s="439"/>
      <c r="B69" s="443"/>
      <c r="C69" s="444"/>
      <c r="D69" s="223" t="s">
        <v>257</v>
      </c>
      <c r="E69" s="149">
        <f>E76</f>
        <v>0</v>
      </c>
      <c r="F69" s="149">
        <f t="shared" si="100"/>
        <v>0</v>
      </c>
      <c r="G69" s="149">
        <v>0</v>
      </c>
      <c r="H69" s="149">
        <f t="shared" si="100"/>
        <v>0</v>
      </c>
      <c r="I69" s="149">
        <f t="shared" si="100"/>
        <v>0</v>
      </c>
      <c r="J69" s="149">
        <f t="shared" si="100"/>
        <v>0</v>
      </c>
      <c r="K69" s="149">
        <f t="shared" si="100"/>
        <v>0</v>
      </c>
      <c r="L69" s="149">
        <f t="shared" si="100"/>
        <v>0</v>
      </c>
      <c r="M69" s="149">
        <v>0</v>
      </c>
      <c r="N69" s="149">
        <f t="shared" si="100"/>
        <v>0</v>
      </c>
      <c r="O69" s="149">
        <f t="shared" si="100"/>
        <v>0</v>
      </c>
      <c r="P69" s="149">
        <f t="shared" si="100"/>
        <v>0</v>
      </c>
      <c r="Q69" s="149">
        <f t="shared" si="100"/>
        <v>0</v>
      </c>
      <c r="R69" s="149">
        <f t="shared" si="100"/>
        <v>0</v>
      </c>
      <c r="S69" s="149">
        <f t="shared" si="100"/>
        <v>0</v>
      </c>
      <c r="T69" s="149">
        <f t="shared" si="100"/>
        <v>0</v>
      </c>
      <c r="U69" s="149">
        <f t="shared" si="100"/>
        <v>0</v>
      </c>
      <c r="V69" s="149">
        <f t="shared" si="100"/>
        <v>0</v>
      </c>
      <c r="W69" s="149">
        <f t="shared" si="100"/>
        <v>0</v>
      </c>
      <c r="X69" s="149">
        <f t="shared" si="100"/>
        <v>0</v>
      </c>
      <c r="Y69" s="149">
        <f t="shared" si="100"/>
        <v>0</v>
      </c>
      <c r="Z69" s="149">
        <f t="shared" si="100"/>
        <v>0</v>
      </c>
      <c r="AA69" s="149">
        <f t="shared" si="100"/>
        <v>0</v>
      </c>
      <c r="AB69" s="149">
        <f t="shared" si="100"/>
        <v>0</v>
      </c>
      <c r="AC69" s="149">
        <f t="shared" si="100"/>
        <v>0</v>
      </c>
      <c r="AD69" s="149">
        <f t="shared" si="100"/>
        <v>0</v>
      </c>
      <c r="AE69" s="149">
        <f t="shared" si="100"/>
        <v>0</v>
      </c>
      <c r="AF69" s="149">
        <f t="shared" si="100"/>
        <v>0</v>
      </c>
      <c r="AG69" s="149">
        <f t="shared" si="100"/>
        <v>0</v>
      </c>
      <c r="AH69" s="149">
        <f t="shared" si="100"/>
        <v>0</v>
      </c>
      <c r="AI69" s="149">
        <f t="shared" si="100"/>
        <v>0</v>
      </c>
      <c r="AJ69" s="149">
        <f t="shared" si="100"/>
        <v>0</v>
      </c>
      <c r="AK69" s="149">
        <f t="shared" si="100"/>
        <v>0</v>
      </c>
      <c r="AL69" s="149">
        <f t="shared" si="100"/>
        <v>0</v>
      </c>
      <c r="AM69" s="149">
        <f t="shared" si="100"/>
        <v>0</v>
      </c>
      <c r="AN69" s="149">
        <f t="shared" si="100"/>
        <v>0</v>
      </c>
      <c r="AO69" s="149">
        <f t="shared" si="100"/>
        <v>0</v>
      </c>
      <c r="AP69" s="149">
        <f t="shared" si="100"/>
        <v>0</v>
      </c>
      <c r="AQ69" s="149">
        <f t="shared" si="100"/>
        <v>0</v>
      </c>
      <c r="AR69" s="310"/>
      <c r="AS69" s="351"/>
      <c r="AT69" s="121"/>
      <c r="AU69" s="121"/>
      <c r="AV69" s="155"/>
    </row>
    <row r="70" spans="1:48" s="100" customFormat="1" ht="24">
      <c r="A70" s="440"/>
      <c r="B70" s="445"/>
      <c r="C70" s="446"/>
      <c r="D70" s="223" t="s">
        <v>469</v>
      </c>
      <c r="E70" s="149">
        <f>H70+K70+N70+Q70+T70+W70+Z70+AC70+AF70+AI70+AL70+AO70</f>
        <v>0</v>
      </c>
      <c r="F70" s="149">
        <f>I70+L70+O70+R70+U70+X70+AA70+AD70+AG70+AJ70+AM70+AP70</f>
        <v>0</v>
      </c>
      <c r="G70" s="149">
        <v>0</v>
      </c>
      <c r="H70" s="149">
        <v>0</v>
      </c>
      <c r="I70" s="149">
        <v>0</v>
      </c>
      <c r="J70" s="149">
        <v>0</v>
      </c>
      <c r="K70" s="243">
        <v>0</v>
      </c>
      <c r="L70" s="149">
        <v>0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244">
        <v>0</v>
      </c>
      <c r="U70" s="244">
        <v>0</v>
      </c>
      <c r="V70" s="149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149">
        <v>0</v>
      </c>
      <c r="AI70" s="149">
        <v>0</v>
      </c>
      <c r="AJ70" s="149">
        <v>0</v>
      </c>
      <c r="AK70" s="149">
        <v>0</v>
      </c>
      <c r="AL70" s="244">
        <v>0</v>
      </c>
      <c r="AM70" s="244">
        <v>0</v>
      </c>
      <c r="AN70" s="244">
        <v>0</v>
      </c>
      <c r="AO70" s="149">
        <v>0</v>
      </c>
      <c r="AP70" s="149">
        <v>0</v>
      </c>
      <c r="AQ70" s="149">
        <v>0</v>
      </c>
      <c r="AR70" s="311"/>
      <c r="AS70" s="351"/>
      <c r="AT70" s="121"/>
      <c r="AU70" s="121"/>
      <c r="AV70" s="155"/>
    </row>
    <row r="71" spans="1:48" s="100" customFormat="1" ht="84">
      <c r="A71" s="228" t="s">
        <v>17</v>
      </c>
      <c r="B71" s="227" t="s">
        <v>483</v>
      </c>
      <c r="C71" s="247" t="s">
        <v>276</v>
      </c>
      <c r="D71" s="143" t="s">
        <v>443</v>
      </c>
      <c r="E71" s="149" t="s">
        <v>279</v>
      </c>
      <c r="F71" s="149" t="s">
        <v>279</v>
      </c>
      <c r="G71" s="149" t="s">
        <v>279</v>
      </c>
      <c r="H71" s="149" t="s">
        <v>279</v>
      </c>
      <c r="I71" s="149" t="s">
        <v>279</v>
      </c>
      <c r="J71" s="149" t="s">
        <v>279</v>
      </c>
      <c r="K71" s="149" t="s">
        <v>279</v>
      </c>
      <c r="L71" s="149" t="s">
        <v>279</v>
      </c>
      <c r="M71" s="149" t="s">
        <v>279</v>
      </c>
      <c r="N71" s="149" t="s">
        <v>279</v>
      </c>
      <c r="O71" s="149" t="s">
        <v>279</v>
      </c>
      <c r="P71" s="149" t="s">
        <v>279</v>
      </c>
      <c r="Q71" s="149" t="s">
        <v>279</v>
      </c>
      <c r="R71" s="149" t="s">
        <v>279</v>
      </c>
      <c r="S71" s="149" t="s">
        <v>279</v>
      </c>
      <c r="T71" s="149" t="s">
        <v>279</v>
      </c>
      <c r="U71" s="149" t="s">
        <v>279</v>
      </c>
      <c r="V71" s="149" t="s">
        <v>279</v>
      </c>
      <c r="W71" s="149" t="s">
        <v>279</v>
      </c>
      <c r="X71" s="149" t="s">
        <v>279</v>
      </c>
      <c r="Y71" s="149" t="s">
        <v>279</v>
      </c>
      <c r="Z71" s="149" t="s">
        <v>279</v>
      </c>
      <c r="AA71" s="149" t="s">
        <v>279</v>
      </c>
      <c r="AB71" s="149" t="s">
        <v>279</v>
      </c>
      <c r="AC71" s="149" t="s">
        <v>279</v>
      </c>
      <c r="AD71" s="149" t="s">
        <v>279</v>
      </c>
      <c r="AE71" s="149" t="s">
        <v>279</v>
      </c>
      <c r="AF71" s="149" t="s">
        <v>279</v>
      </c>
      <c r="AG71" s="149" t="s">
        <v>279</v>
      </c>
      <c r="AH71" s="149" t="s">
        <v>279</v>
      </c>
      <c r="AI71" s="149" t="s">
        <v>279</v>
      </c>
      <c r="AJ71" s="149" t="s">
        <v>279</v>
      </c>
      <c r="AK71" s="149" t="s">
        <v>279</v>
      </c>
      <c r="AL71" s="149" t="s">
        <v>279</v>
      </c>
      <c r="AM71" s="149" t="s">
        <v>279</v>
      </c>
      <c r="AN71" s="149" t="s">
        <v>279</v>
      </c>
      <c r="AO71" s="149" t="s">
        <v>279</v>
      </c>
      <c r="AP71" s="149" t="s">
        <v>279</v>
      </c>
      <c r="AQ71" s="149" t="s">
        <v>279</v>
      </c>
      <c r="AR71" s="246" t="s">
        <v>515</v>
      </c>
      <c r="AS71" s="239"/>
      <c r="AT71" s="121"/>
      <c r="AU71" s="121"/>
      <c r="AV71" s="155"/>
    </row>
    <row r="72" spans="1:48" s="100" customFormat="1" ht="60">
      <c r="A72" s="248" t="s">
        <v>481</v>
      </c>
      <c r="B72" s="227" t="s">
        <v>484</v>
      </c>
      <c r="C72" s="247" t="s">
        <v>375</v>
      </c>
      <c r="D72" s="143" t="s">
        <v>443</v>
      </c>
      <c r="E72" s="149" t="s">
        <v>279</v>
      </c>
      <c r="F72" s="149" t="s">
        <v>279</v>
      </c>
      <c r="G72" s="149" t="s">
        <v>279</v>
      </c>
      <c r="H72" s="149" t="s">
        <v>279</v>
      </c>
      <c r="I72" s="149" t="s">
        <v>279</v>
      </c>
      <c r="J72" s="149" t="s">
        <v>279</v>
      </c>
      <c r="K72" s="149" t="s">
        <v>279</v>
      </c>
      <c r="L72" s="149" t="s">
        <v>279</v>
      </c>
      <c r="M72" s="149" t="s">
        <v>279</v>
      </c>
      <c r="N72" s="149" t="s">
        <v>279</v>
      </c>
      <c r="O72" s="149" t="s">
        <v>279</v>
      </c>
      <c r="P72" s="149" t="s">
        <v>279</v>
      </c>
      <c r="Q72" s="149" t="s">
        <v>279</v>
      </c>
      <c r="R72" s="149" t="s">
        <v>279</v>
      </c>
      <c r="S72" s="149" t="s">
        <v>279</v>
      </c>
      <c r="T72" s="149" t="s">
        <v>279</v>
      </c>
      <c r="U72" s="149" t="s">
        <v>279</v>
      </c>
      <c r="V72" s="149" t="s">
        <v>279</v>
      </c>
      <c r="W72" s="149" t="s">
        <v>279</v>
      </c>
      <c r="X72" s="149" t="s">
        <v>279</v>
      </c>
      <c r="Y72" s="149" t="s">
        <v>279</v>
      </c>
      <c r="Z72" s="149" t="s">
        <v>279</v>
      </c>
      <c r="AA72" s="149" t="s">
        <v>279</v>
      </c>
      <c r="AB72" s="149" t="s">
        <v>279</v>
      </c>
      <c r="AC72" s="149" t="s">
        <v>279</v>
      </c>
      <c r="AD72" s="149" t="s">
        <v>279</v>
      </c>
      <c r="AE72" s="149" t="s">
        <v>279</v>
      </c>
      <c r="AF72" s="149" t="s">
        <v>279</v>
      </c>
      <c r="AG72" s="149" t="s">
        <v>279</v>
      </c>
      <c r="AH72" s="149" t="s">
        <v>279</v>
      </c>
      <c r="AI72" s="149" t="s">
        <v>279</v>
      </c>
      <c r="AJ72" s="149" t="s">
        <v>279</v>
      </c>
      <c r="AK72" s="149" t="s">
        <v>279</v>
      </c>
      <c r="AL72" s="149" t="s">
        <v>279</v>
      </c>
      <c r="AM72" s="149" t="s">
        <v>279</v>
      </c>
      <c r="AN72" s="149" t="s">
        <v>279</v>
      </c>
      <c r="AO72" s="149" t="s">
        <v>279</v>
      </c>
      <c r="AP72" s="149" t="s">
        <v>279</v>
      </c>
      <c r="AQ72" s="149" t="s">
        <v>279</v>
      </c>
      <c r="AR72" s="245" t="s">
        <v>457</v>
      </c>
      <c r="AS72" s="134"/>
      <c r="AT72" s="121"/>
      <c r="AU72" s="121"/>
      <c r="AV72" s="155"/>
    </row>
    <row r="73" spans="1:48" s="31" customFormat="1" ht="12.75" customHeight="1">
      <c r="A73" s="458" t="s">
        <v>482</v>
      </c>
      <c r="B73" s="459" t="s">
        <v>485</v>
      </c>
      <c r="C73" s="459" t="s">
        <v>454</v>
      </c>
      <c r="D73" s="224" t="s">
        <v>444</v>
      </c>
      <c r="E73" s="123">
        <f>SUM(E74:E76)</f>
        <v>619.20000000000005</v>
      </c>
      <c r="F73" s="123">
        <f t="shared" ref="F73" si="101">SUM(F74:F76)</f>
        <v>619.1</v>
      </c>
      <c r="G73" s="123">
        <f>F73/E73*100</f>
        <v>99.983850129198956</v>
      </c>
      <c r="H73" s="132">
        <f t="shared" ref="H73:AQ73" si="102">H74+H75+H76</f>
        <v>0</v>
      </c>
      <c r="I73" s="132">
        <f t="shared" si="102"/>
        <v>0</v>
      </c>
      <c r="J73" s="123">
        <v>0</v>
      </c>
      <c r="K73" s="132">
        <f t="shared" si="102"/>
        <v>67.5</v>
      </c>
      <c r="L73" s="132">
        <f t="shared" si="102"/>
        <v>67.5</v>
      </c>
      <c r="M73" s="132">
        <f>L73/K73*100</f>
        <v>100</v>
      </c>
      <c r="N73" s="132">
        <f t="shared" si="102"/>
        <v>4.0999999999999996</v>
      </c>
      <c r="O73" s="132">
        <f t="shared" si="102"/>
        <v>4.0999999999999996</v>
      </c>
      <c r="P73" s="123">
        <f>O73/N73*100</f>
        <v>100</v>
      </c>
      <c r="Q73" s="132">
        <f t="shared" si="102"/>
        <v>59.6</v>
      </c>
      <c r="R73" s="132">
        <f t="shared" si="102"/>
        <v>59.6</v>
      </c>
      <c r="S73" s="123">
        <f>R73/Q73*100</f>
        <v>100</v>
      </c>
      <c r="T73" s="132">
        <f t="shared" si="102"/>
        <v>95</v>
      </c>
      <c r="U73" s="132">
        <f t="shared" si="102"/>
        <v>95</v>
      </c>
      <c r="V73" s="123">
        <f>U73/T73*100</f>
        <v>100</v>
      </c>
      <c r="W73" s="132">
        <f t="shared" si="102"/>
        <v>115.00000000000001</v>
      </c>
      <c r="X73" s="132">
        <f t="shared" si="102"/>
        <v>47.3</v>
      </c>
      <c r="Y73" s="132">
        <f t="shared" si="102"/>
        <v>41.130434782608688</v>
      </c>
      <c r="Z73" s="132">
        <f t="shared" si="102"/>
        <v>16.100000000000001</v>
      </c>
      <c r="AA73" s="132">
        <f t="shared" si="102"/>
        <v>16.100000000000001</v>
      </c>
      <c r="AB73" s="132">
        <f t="shared" si="102"/>
        <v>100</v>
      </c>
      <c r="AC73" s="132">
        <f t="shared" si="102"/>
        <v>36</v>
      </c>
      <c r="AD73" s="132">
        <f t="shared" si="102"/>
        <v>36</v>
      </c>
      <c r="AE73" s="123">
        <f>AD73/AC73*100</f>
        <v>100</v>
      </c>
      <c r="AF73" s="132">
        <f t="shared" si="102"/>
        <v>83.3</v>
      </c>
      <c r="AG73" s="132">
        <f t="shared" si="102"/>
        <v>33.4</v>
      </c>
      <c r="AH73" s="117">
        <f>AG73/AF73*100</f>
        <v>40.096038415366145</v>
      </c>
      <c r="AI73" s="132">
        <f t="shared" si="102"/>
        <v>142.6</v>
      </c>
      <c r="AJ73" s="132">
        <f t="shared" si="102"/>
        <v>241.4</v>
      </c>
      <c r="AK73" s="132">
        <f t="shared" si="102"/>
        <v>169.28471248246845</v>
      </c>
      <c r="AL73" s="132">
        <f t="shared" si="102"/>
        <v>0</v>
      </c>
      <c r="AM73" s="132">
        <f t="shared" si="102"/>
        <v>10.7</v>
      </c>
      <c r="AN73" s="132">
        <f t="shared" si="102"/>
        <v>100</v>
      </c>
      <c r="AO73" s="132">
        <f t="shared" si="102"/>
        <v>0</v>
      </c>
      <c r="AP73" s="132">
        <f t="shared" si="102"/>
        <v>8</v>
      </c>
      <c r="AQ73" s="132">
        <f t="shared" si="102"/>
        <v>100</v>
      </c>
      <c r="AR73" s="435" t="s">
        <v>516</v>
      </c>
      <c r="AS73" s="388"/>
      <c r="AT73" s="121"/>
      <c r="AU73" s="121"/>
      <c r="AV73" s="155"/>
    </row>
    <row r="74" spans="1:48" s="31" customFormat="1" ht="48">
      <c r="A74" s="458"/>
      <c r="B74" s="459"/>
      <c r="C74" s="459"/>
      <c r="D74" s="225" t="s">
        <v>442</v>
      </c>
      <c r="E74" s="123">
        <f>H74+K74+N74+Q74+T74+W74+Z74+AC74+AF74+AI74+AL74+AO74</f>
        <v>0</v>
      </c>
      <c r="F74" s="123">
        <f>I74+L74+O74+R74+U74+X74+AA74+AD74+AG74+AJ74+AM74+AP74</f>
        <v>0</v>
      </c>
      <c r="G74" s="123">
        <v>0</v>
      </c>
      <c r="H74" s="123">
        <v>0</v>
      </c>
      <c r="I74" s="123">
        <v>0</v>
      </c>
      <c r="J74" s="123">
        <v>0</v>
      </c>
      <c r="K74" s="150">
        <v>0</v>
      </c>
      <c r="L74" s="123">
        <v>0</v>
      </c>
      <c r="M74" s="138">
        <v>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17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23">
        <v>0</v>
      </c>
      <c r="AJ74" s="123">
        <v>0</v>
      </c>
      <c r="AK74" s="123">
        <v>0</v>
      </c>
      <c r="AL74" s="117">
        <v>0</v>
      </c>
      <c r="AM74" s="117">
        <v>0</v>
      </c>
      <c r="AN74" s="117">
        <v>0</v>
      </c>
      <c r="AO74" s="123">
        <v>0</v>
      </c>
      <c r="AP74" s="123">
        <v>0</v>
      </c>
      <c r="AQ74" s="123">
        <v>0</v>
      </c>
      <c r="AR74" s="436"/>
      <c r="AS74" s="389"/>
      <c r="AT74" s="121"/>
      <c r="AU74" s="121"/>
      <c r="AV74" s="155"/>
    </row>
    <row r="75" spans="1:48" s="31" customFormat="1" ht="21.75" customHeight="1">
      <c r="A75" s="458"/>
      <c r="B75" s="459"/>
      <c r="C75" s="459"/>
      <c r="D75" s="225" t="s">
        <v>463</v>
      </c>
      <c r="E75" s="123">
        <f t="shared" ref="E75:F76" si="103">H75+K75+N75+Q75+T75+W75+Z75+AC75+AF75+AI75+AL75+AO75</f>
        <v>619.20000000000005</v>
      </c>
      <c r="F75" s="123">
        <f t="shared" si="103"/>
        <v>619.1</v>
      </c>
      <c r="G75" s="123">
        <f>F75/E75*100</f>
        <v>99.983850129198956</v>
      </c>
      <c r="H75" s="123">
        <v>0</v>
      </c>
      <c r="I75" s="123">
        <v>0</v>
      </c>
      <c r="J75" s="123">
        <v>0</v>
      </c>
      <c r="K75" s="150">
        <v>67.5</v>
      </c>
      <c r="L75" s="123">
        <v>67.5</v>
      </c>
      <c r="M75" s="138">
        <f>L75/K75*100</f>
        <v>100</v>
      </c>
      <c r="N75" s="123">
        <v>4.0999999999999996</v>
      </c>
      <c r="O75" s="123">
        <v>4.0999999999999996</v>
      </c>
      <c r="P75" s="123">
        <f>O75/N75*100</f>
        <v>100</v>
      </c>
      <c r="Q75" s="123">
        <f>0+59.6</f>
        <v>59.6</v>
      </c>
      <c r="R75" s="123">
        <v>59.6</v>
      </c>
      <c r="S75" s="123">
        <f>R75/Q75*100</f>
        <v>100</v>
      </c>
      <c r="T75" s="117">
        <f>101.3-59.6+53.3</f>
        <v>95</v>
      </c>
      <c r="U75" s="117">
        <v>95</v>
      </c>
      <c r="V75" s="123">
        <f>U75/T75*100</f>
        <v>100</v>
      </c>
      <c r="W75" s="117">
        <f>172.8-53.3-4.5</f>
        <v>115.00000000000001</v>
      </c>
      <c r="X75" s="117">
        <v>47.3</v>
      </c>
      <c r="Y75" s="117">
        <f>X75/W75*100</f>
        <v>41.130434782608688</v>
      </c>
      <c r="Z75" s="117">
        <v>16.100000000000001</v>
      </c>
      <c r="AA75" s="117">
        <v>16.100000000000001</v>
      </c>
      <c r="AB75" s="117">
        <f>AA75/Z75*100</f>
        <v>100</v>
      </c>
      <c r="AC75" s="117">
        <v>36</v>
      </c>
      <c r="AD75" s="117">
        <v>36</v>
      </c>
      <c r="AE75" s="123">
        <f>AD75/AC75*100</f>
        <v>100</v>
      </c>
      <c r="AF75" s="117">
        <f>87.8-4.5</f>
        <v>83.3</v>
      </c>
      <c r="AG75" s="117">
        <v>33.4</v>
      </c>
      <c r="AH75" s="117">
        <f>AG75/AF75*100</f>
        <v>40.096038415366145</v>
      </c>
      <c r="AI75" s="123">
        <v>142.6</v>
      </c>
      <c r="AJ75" s="123">
        <v>241.4</v>
      </c>
      <c r="AK75" s="123">
        <f>AJ75/AI75*100</f>
        <v>169.28471248246845</v>
      </c>
      <c r="AL75" s="117">
        <v>0</v>
      </c>
      <c r="AM75" s="117">
        <v>10.7</v>
      </c>
      <c r="AN75" s="117">
        <v>100</v>
      </c>
      <c r="AO75" s="123">
        <v>0</v>
      </c>
      <c r="AP75" s="123">
        <v>8</v>
      </c>
      <c r="AQ75" s="123">
        <v>100</v>
      </c>
      <c r="AR75" s="436"/>
      <c r="AS75" s="389"/>
      <c r="AT75" s="121"/>
      <c r="AU75" s="121"/>
      <c r="AV75" s="155"/>
    </row>
    <row r="76" spans="1:48" s="31" customFormat="1" ht="24">
      <c r="A76" s="458"/>
      <c r="B76" s="459"/>
      <c r="C76" s="459"/>
      <c r="D76" s="143" t="s">
        <v>257</v>
      </c>
      <c r="E76" s="123">
        <f t="shared" si="103"/>
        <v>0</v>
      </c>
      <c r="F76" s="123">
        <f t="shared" si="103"/>
        <v>0</v>
      </c>
      <c r="G76" s="123">
        <v>0</v>
      </c>
      <c r="H76" s="123">
        <v>0</v>
      </c>
      <c r="I76" s="123">
        <v>0</v>
      </c>
      <c r="J76" s="123">
        <v>0</v>
      </c>
      <c r="K76" s="150">
        <v>0</v>
      </c>
      <c r="L76" s="123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17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23">
        <v>0</v>
      </c>
      <c r="AJ76" s="123">
        <v>0</v>
      </c>
      <c r="AK76" s="123">
        <v>0</v>
      </c>
      <c r="AL76" s="117">
        <v>0</v>
      </c>
      <c r="AM76" s="117">
        <v>0</v>
      </c>
      <c r="AN76" s="117">
        <v>0</v>
      </c>
      <c r="AO76" s="123">
        <v>0</v>
      </c>
      <c r="AP76" s="123">
        <v>0</v>
      </c>
      <c r="AQ76" s="123">
        <v>0</v>
      </c>
      <c r="AR76" s="436"/>
      <c r="AS76" s="389"/>
      <c r="AT76" s="121"/>
      <c r="AU76" s="121"/>
      <c r="AV76" s="155"/>
    </row>
    <row r="77" spans="1:48" s="31" customFormat="1" ht="24">
      <c r="A77" s="458"/>
      <c r="B77" s="459"/>
      <c r="C77" s="459"/>
      <c r="D77" s="143" t="s">
        <v>469</v>
      </c>
      <c r="E77" s="123">
        <f>H77+K77+N77+Q77+T77+W77+Z77+AC77+AF77+AI77+AL77+AO77</f>
        <v>0</v>
      </c>
      <c r="F77" s="123">
        <f>I77+L77+O77+R77+U77+X77+AA77+AD77+AG77+AJ77+AM77+AP77</f>
        <v>0</v>
      </c>
      <c r="G77" s="123">
        <v>0</v>
      </c>
      <c r="H77" s="123">
        <v>0</v>
      </c>
      <c r="I77" s="123">
        <v>0</v>
      </c>
      <c r="J77" s="123">
        <v>0</v>
      </c>
      <c r="K77" s="150">
        <v>0</v>
      </c>
      <c r="L77" s="123">
        <v>0</v>
      </c>
      <c r="M77" s="123">
        <v>0</v>
      </c>
      <c r="N77" s="123">
        <v>0</v>
      </c>
      <c r="O77" s="123">
        <v>0</v>
      </c>
      <c r="P77" s="123">
        <v>0</v>
      </c>
      <c r="Q77" s="123">
        <v>0</v>
      </c>
      <c r="R77" s="123">
        <v>0</v>
      </c>
      <c r="S77" s="123">
        <v>0</v>
      </c>
      <c r="T77" s="117">
        <v>0</v>
      </c>
      <c r="U77" s="117">
        <v>0</v>
      </c>
      <c r="V77" s="123">
        <v>0</v>
      </c>
      <c r="W77" s="117">
        <v>0</v>
      </c>
      <c r="X77" s="117">
        <v>0</v>
      </c>
      <c r="Y77" s="117">
        <v>0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7">
        <v>0</v>
      </c>
      <c r="AH77" s="123">
        <v>0</v>
      </c>
      <c r="AI77" s="123">
        <v>0</v>
      </c>
      <c r="AJ77" s="123">
        <v>0</v>
      </c>
      <c r="AK77" s="123">
        <v>0</v>
      </c>
      <c r="AL77" s="117">
        <v>0</v>
      </c>
      <c r="AM77" s="117">
        <v>0</v>
      </c>
      <c r="AN77" s="117">
        <v>0</v>
      </c>
      <c r="AO77" s="123">
        <v>0</v>
      </c>
      <c r="AP77" s="123">
        <v>0</v>
      </c>
      <c r="AQ77" s="123">
        <v>0</v>
      </c>
      <c r="AR77" s="437"/>
      <c r="AS77" s="390"/>
      <c r="AT77" s="121"/>
      <c r="AU77" s="121"/>
      <c r="AV77" s="155"/>
    </row>
    <row r="78" spans="1:48" s="100" customFormat="1" ht="12.75" customHeight="1">
      <c r="A78" s="434" t="s">
        <v>490</v>
      </c>
      <c r="B78" s="434"/>
      <c r="C78" s="434"/>
      <c r="D78" s="223" t="s">
        <v>444</v>
      </c>
      <c r="E78" s="149">
        <f>E79+E80+E81</f>
        <v>432708.8</v>
      </c>
      <c r="F78" s="149">
        <f>F79+F80+F81</f>
        <v>429325.2</v>
      </c>
      <c r="G78" s="149">
        <f>F78/E78*100</f>
        <v>99.218042249198547</v>
      </c>
      <c r="H78" s="149">
        <f t="shared" ref="H78:I78" si="104">H79+H80+H81</f>
        <v>7973.2</v>
      </c>
      <c r="I78" s="149">
        <f t="shared" si="104"/>
        <v>7014.9999999999991</v>
      </c>
      <c r="J78" s="149">
        <f>I78/H78*100</f>
        <v>87.982240505694065</v>
      </c>
      <c r="K78" s="149">
        <f t="shared" ref="K78:L78" si="105">K79+K80+K81</f>
        <v>31249.000000000004</v>
      </c>
      <c r="L78" s="149">
        <f t="shared" si="105"/>
        <v>30424.100000000002</v>
      </c>
      <c r="M78" s="149">
        <f>L78/K78*100</f>
        <v>97.360235527536872</v>
      </c>
      <c r="N78" s="149">
        <f t="shared" ref="N78:O78" si="106">N79+N80+N81</f>
        <v>50894.700000000004</v>
      </c>
      <c r="O78" s="149">
        <f t="shared" si="106"/>
        <v>49033.5</v>
      </c>
      <c r="P78" s="149">
        <f>O78/N78*100</f>
        <v>96.343037683688081</v>
      </c>
      <c r="Q78" s="149">
        <f t="shared" ref="Q78:R78" si="107">Q79+Q80+Q81</f>
        <v>38697.300000000003</v>
      </c>
      <c r="R78" s="149">
        <f t="shared" si="107"/>
        <v>35993.299999999996</v>
      </c>
      <c r="S78" s="149">
        <f>R78/Q78*100</f>
        <v>93.012432391923966</v>
      </c>
      <c r="T78" s="149">
        <f t="shared" ref="T78:U78" si="108">T79+T80+T81</f>
        <v>34689.200000000004</v>
      </c>
      <c r="U78" s="149">
        <f t="shared" si="108"/>
        <v>34118.200000000004</v>
      </c>
      <c r="V78" s="149">
        <f>U78/T78*100</f>
        <v>98.353954544930417</v>
      </c>
      <c r="W78" s="149">
        <f t="shared" ref="W78:X78" si="109">W79+W80+W81</f>
        <v>43137.5</v>
      </c>
      <c r="X78" s="149">
        <f t="shared" si="109"/>
        <v>37382.30000000001</v>
      </c>
      <c r="Y78" s="149">
        <f>X78/W78*100</f>
        <v>86.658475804114772</v>
      </c>
      <c r="Z78" s="149">
        <f t="shared" ref="Z78:AA78" si="110">Z79+Z80+Z81</f>
        <v>42128.599999999991</v>
      </c>
      <c r="AA78" s="149">
        <f t="shared" si="110"/>
        <v>40047.599999999999</v>
      </c>
      <c r="AB78" s="149">
        <f>AA78/Z78*100</f>
        <v>95.060362793921485</v>
      </c>
      <c r="AC78" s="149">
        <f t="shared" ref="AC78:AD78" si="111">AC79+AC80+AC81</f>
        <v>34219.000000000007</v>
      </c>
      <c r="AD78" s="149">
        <f t="shared" si="111"/>
        <v>33240.6</v>
      </c>
      <c r="AE78" s="149">
        <f>AD78/AC78*100</f>
        <v>97.140769747800903</v>
      </c>
      <c r="AF78" s="149">
        <f t="shared" ref="AF78:AG78" si="112">AF79+AF80+AF81</f>
        <v>34331.9</v>
      </c>
      <c r="AG78" s="149">
        <f t="shared" si="112"/>
        <v>29828.299999999996</v>
      </c>
      <c r="AH78" s="149">
        <f>AG78/AF78*100</f>
        <v>86.882170809072605</v>
      </c>
      <c r="AI78" s="149">
        <f t="shared" ref="AI78:AJ78" si="113">AI79+AI80+AI81</f>
        <v>35229.299999999996</v>
      </c>
      <c r="AJ78" s="149">
        <f t="shared" si="113"/>
        <v>36433.599999999991</v>
      </c>
      <c r="AK78" s="149">
        <f>AJ78/AI78*100</f>
        <v>103.4184613375798</v>
      </c>
      <c r="AL78" s="149">
        <f t="shared" ref="AL78:AM78" si="114">AL79+AL80+AL81</f>
        <v>29806.2</v>
      </c>
      <c r="AM78" s="149">
        <f t="shared" si="114"/>
        <v>30583.899999999998</v>
      </c>
      <c r="AN78" s="149">
        <f>AM78/AL78*100</f>
        <v>102.60918869228549</v>
      </c>
      <c r="AO78" s="149">
        <f t="shared" ref="AO78:AP78" si="115">AO79+AO80+AO81</f>
        <v>50352.899999999994</v>
      </c>
      <c r="AP78" s="149">
        <f t="shared" si="115"/>
        <v>65224.800000000003</v>
      </c>
      <c r="AQ78" s="149">
        <f>AP78/AO78*100</f>
        <v>129.53533957329174</v>
      </c>
      <c r="AR78" s="431"/>
      <c r="AS78" s="432"/>
      <c r="AT78" s="121"/>
      <c r="AU78" s="121"/>
      <c r="AV78" s="155"/>
    </row>
    <row r="79" spans="1:48" s="100" customFormat="1" ht="48">
      <c r="A79" s="434"/>
      <c r="B79" s="434"/>
      <c r="C79" s="434"/>
      <c r="D79" s="222" t="s">
        <v>442</v>
      </c>
      <c r="E79" s="149">
        <f t="shared" ref="E79:F81" si="116">E14+E56+E67</f>
        <v>119445.00000000003</v>
      </c>
      <c r="F79" s="149">
        <f t="shared" si="116"/>
        <v>119354.40000000002</v>
      </c>
      <c r="G79" s="149">
        <f>F79/E79*100</f>
        <v>99.92414919000376</v>
      </c>
      <c r="H79" s="149">
        <f t="shared" ref="H79:I81" si="117">H14+H56+H67</f>
        <v>566.4</v>
      </c>
      <c r="I79" s="149">
        <f t="shared" si="117"/>
        <v>433.1</v>
      </c>
      <c r="J79" s="149">
        <f t="shared" ref="J79:J81" si="118">I79/H79*100</f>
        <v>76.465395480225993</v>
      </c>
      <c r="K79" s="149">
        <f t="shared" ref="K79:L81" si="119">K14+K56+K67</f>
        <v>8592</v>
      </c>
      <c r="L79" s="149">
        <f t="shared" si="119"/>
        <v>7905.0999999999995</v>
      </c>
      <c r="M79" s="149">
        <f t="shared" ref="M79:M81" si="120">L79/K79*100</f>
        <v>92.005353817504655</v>
      </c>
      <c r="N79" s="149">
        <f t="shared" ref="N79:O81" si="121">N14+N56+N67</f>
        <v>10275.099999999999</v>
      </c>
      <c r="O79" s="149">
        <f t="shared" si="121"/>
        <v>9828.4000000000015</v>
      </c>
      <c r="P79" s="149">
        <f t="shared" ref="P79:P81" si="122">O79/N79*100</f>
        <v>95.652597055016514</v>
      </c>
      <c r="Q79" s="149">
        <f t="shared" ref="Q79:R81" si="123">Q14+Q56+Q67</f>
        <v>9325.6000000000022</v>
      </c>
      <c r="R79" s="149">
        <f t="shared" si="123"/>
        <v>9728.1</v>
      </c>
      <c r="S79" s="149">
        <f t="shared" ref="S79:S81" si="124">R79/Q79*100</f>
        <v>104.3160761774041</v>
      </c>
      <c r="T79" s="149">
        <f t="shared" ref="T79:U81" si="125">T14+T56+T67</f>
        <v>8185.8</v>
      </c>
      <c r="U79" s="149">
        <f t="shared" si="125"/>
        <v>8152.2999999999993</v>
      </c>
      <c r="V79" s="149">
        <f t="shared" ref="V79:V81" si="126">U79/T79*100</f>
        <v>99.59075472159104</v>
      </c>
      <c r="W79" s="149">
        <f t="shared" ref="W79:X81" si="127">W14+W56+W67</f>
        <v>10749.800000000003</v>
      </c>
      <c r="X79" s="149">
        <f t="shared" si="127"/>
        <v>9943.9000000000015</v>
      </c>
      <c r="Y79" s="149">
        <f t="shared" ref="Y79:Y81" si="128">X79/W79*100</f>
        <v>92.503116337048112</v>
      </c>
      <c r="Z79" s="149">
        <f t="shared" ref="Z79:AA81" si="129">Z14+Z56+Z67</f>
        <v>12261.399999999998</v>
      </c>
      <c r="AA79" s="149">
        <f t="shared" si="129"/>
        <v>11228.8</v>
      </c>
      <c r="AB79" s="149">
        <f t="shared" ref="AB79:AB81" si="130">AA79/Z79*100</f>
        <v>91.578449442967369</v>
      </c>
      <c r="AC79" s="149">
        <f t="shared" ref="AC79:AD81" si="131">AC14+AC56+AC67</f>
        <v>11757.6</v>
      </c>
      <c r="AD79" s="149">
        <f t="shared" si="131"/>
        <v>10944.3</v>
      </c>
      <c r="AE79" s="149">
        <f t="shared" ref="AE79:AE81" si="132">AD79/AC79*100</f>
        <v>93.082771994284542</v>
      </c>
      <c r="AF79" s="149">
        <f t="shared" ref="AF79:AG81" si="133">AF14+AF56+AF67</f>
        <v>8857.9000000000015</v>
      </c>
      <c r="AG79" s="149">
        <f t="shared" si="133"/>
        <v>8316.4</v>
      </c>
      <c r="AH79" s="149">
        <f t="shared" ref="AH79:AH81" si="134">AG79/AF79*100</f>
        <v>93.886812901477754</v>
      </c>
      <c r="AI79" s="149">
        <f t="shared" ref="AI79:AJ81" si="135">AI14+AI56+AI67</f>
        <v>9412.5999999999985</v>
      </c>
      <c r="AJ79" s="149">
        <f t="shared" si="135"/>
        <v>10533.699999999999</v>
      </c>
      <c r="AK79" s="149">
        <f t="shared" ref="AK79:AK81" si="136">AJ79/AI79*100</f>
        <v>111.91063043154921</v>
      </c>
      <c r="AL79" s="149">
        <f t="shared" ref="AL79:AM81" si="137">AL14+AL56+AL67</f>
        <v>8683.9000000000015</v>
      </c>
      <c r="AM79" s="149">
        <f t="shared" si="137"/>
        <v>9061.2999999999993</v>
      </c>
      <c r="AN79" s="149">
        <f t="shared" ref="AN79:AN81" si="138">AM79/AL79*100</f>
        <v>104.34597358329781</v>
      </c>
      <c r="AO79" s="149">
        <f t="shared" ref="AO79:AP81" si="139">AO14+AO56+AO67</f>
        <v>20776.900000000001</v>
      </c>
      <c r="AP79" s="149">
        <f t="shared" si="139"/>
        <v>23279</v>
      </c>
      <c r="AQ79" s="149">
        <f t="shared" ref="AQ79:AQ81" si="140">AP79/AO79*100</f>
        <v>112.04270126919799</v>
      </c>
      <c r="AR79" s="431"/>
      <c r="AS79" s="432"/>
      <c r="AT79" s="121"/>
      <c r="AU79" s="121"/>
      <c r="AV79" s="155"/>
    </row>
    <row r="80" spans="1:48" s="100" customFormat="1" ht="23.25" customHeight="1">
      <c r="A80" s="434"/>
      <c r="B80" s="434"/>
      <c r="C80" s="434"/>
      <c r="D80" s="222" t="s">
        <v>463</v>
      </c>
      <c r="E80" s="149">
        <f t="shared" si="116"/>
        <v>304752</v>
      </c>
      <c r="F80" s="149">
        <f t="shared" si="116"/>
        <v>301459</v>
      </c>
      <c r="G80" s="149">
        <f>F80/E80*100</f>
        <v>98.919449257100851</v>
      </c>
      <c r="H80" s="149">
        <f t="shared" si="117"/>
        <v>7350.6</v>
      </c>
      <c r="I80" s="149">
        <f t="shared" si="117"/>
        <v>6525.6999999999989</v>
      </c>
      <c r="J80" s="149">
        <f t="shared" si="118"/>
        <v>88.77778684733218</v>
      </c>
      <c r="K80" s="149">
        <f t="shared" si="119"/>
        <v>22324.600000000002</v>
      </c>
      <c r="L80" s="149">
        <f t="shared" si="119"/>
        <v>22186.600000000002</v>
      </c>
      <c r="M80" s="149">
        <f t="shared" si="120"/>
        <v>99.381847827060739</v>
      </c>
      <c r="N80" s="149">
        <f t="shared" si="121"/>
        <v>39593.400000000009</v>
      </c>
      <c r="O80" s="149">
        <f t="shared" si="121"/>
        <v>38304.6</v>
      </c>
      <c r="P80" s="149">
        <f t="shared" si="122"/>
        <v>96.744912030792989</v>
      </c>
      <c r="Q80" s="149">
        <f t="shared" si="123"/>
        <v>28725.199999999997</v>
      </c>
      <c r="R80" s="149">
        <f t="shared" si="123"/>
        <v>25618.699999999997</v>
      </c>
      <c r="S80" s="149">
        <f t="shared" si="124"/>
        <v>89.185453887179193</v>
      </c>
      <c r="T80" s="149">
        <f t="shared" si="125"/>
        <v>25852.1</v>
      </c>
      <c r="U80" s="149">
        <f t="shared" si="125"/>
        <v>25298.5</v>
      </c>
      <c r="V80" s="149">
        <f t="shared" si="126"/>
        <v>97.858587890345476</v>
      </c>
      <c r="W80" s="149">
        <f t="shared" si="127"/>
        <v>32022.199999999997</v>
      </c>
      <c r="X80" s="149">
        <f t="shared" si="127"/>
        <v>27063.500000000004</v>
      </c>
      <c r="Y80" s="149">
        <f t="shared" si="128"/>
        <v>84.514805353785832</v>
      </c>
      <c r="Z80" s="149">
        <f t="shared" si="129"/>
        <v>29512.599999999995</v>
      </c>
      <c r="AA80" s="149">
        <f t="shared" si="129"/>
        <v>28464.2</v>
      </c>
      <c r="AB80" s="149">
        <f t="shared" si="130"/>
        <v>96.447618983078428</v>
      </c>
      <c r="AC80" s="149">
        <f t="shared" si="131"/>
        <v>21820.500000000004</v>
      </c>
      <c r="AD80" s="149">
        <f t="shared" si="131"/>
        <v>21652.600000000002</v>
      </c>
      <c r="AE80" s="149">
        <f t="shared" si="132"/>
        <v>99.230540088448933</v>
      </c>
      <c r="AF80" s="149">
        <f t="shared" si="133"/>
        <v>25102.100000000002</v>
      </c>
      <c r="AG80" s="149">
        <f t="shared" si="133"/>
        <v>21142.3</v>
      </c>
      <c r="AH80" s="149">
        <f t="shared" si="134"/>
        <v>84.225224184430772</v>
      </c>
      <c r="AI80" s="149">
        <f t="shared" si="135"/>
        <v>25413.099999999995</v>
      </c>
      <c r="AJ80" s="149">
        <f t="shared" si="135"/>
        <v>25496.299999999996</v>
      </c>
      <c r="AK80" s="149">
        <f t="shared" si="136"/>
        <v>100.32739020426473</v>
      </c>
      <c r="AL80" s="149">
        <f t="shared" si="137"/>
        <v>20781.3</v>
      </c>
      <c r="AM80" s="149">
        <f t="shared" si="137"/>
        <v>21181.599999999999</v>
      </c>
      <c r="AN80" s="149">
        <f t="shared" si="138"/>
        <v>101.92625100450886</v>
      </c>
      <c r="AO80" s="149">
        <f t="shared" si="139"/>
        <v>26254.3</v>
      </c>
      <c r="AP80" s="149">
        <f t="shared" si="139"/>
        <v>38524.400000000001</v>
      </c>
      <c r="AQ80" s="149">
        <f t="shared" si="140"/>
        <v>146.73558236174645</v>
      </c>
      <c r="AR80" s="431"/>
      <c r="AS80" s="432"/>
      <c r="AT80" s="121"/>
      <c r="AU80" s="121"/>
      <c r="AV80" s="155"/>
    </row>
    <row r="81" spans="1:48" s="100" customFormat="1" ht="30.75" customHeight="1">
      <c r="A81" s="434"/>
      <c r="B81" s="434"/>
      <c r="C81" s="434"/>
      <c r="D81" s="223" t="s">
        <v>257</v>
      </c>
      <c r="E81" s="149">
        <f t="shared" si="116"/>
        <v>8511.7999999999993</v>
      </c>
      <c r="F81" s="149">
        <f t="shared" si="116"/>
        <v>8511.8000000000011</v>
      </c>
      <c r="G81" s="149">
        <f>F81/E81*100</f>
        <v>100.00000000000003</v>
      </c>
      <c r="H81" s="149">
        <f t="shared" si="117"/>
        <v>56.2</v>
      </c>
      <c r="I81" s="149">
        <f t="shared" si="117"/>
        <v>56.2</v>
      </c>
      <c r="J81" s="149">
        <f t="shared" si="118"/>
        <v>100</v>
      </c>
      <c r="K81" s="149">
        <f t="shared" si="119"/>
        <v>332.4</v>
      </c>
      <c r="L81" s="149">
        <f t="shared" si="119"/>
        <v>332.4</v>
      </c>
      <c r="M81" s="149">
        <f t="shared" si="120"/>
        <v>100</v>
      </c>
      <c r="N81" s="149">
        <f t="shared" si="121"/>
        <v>1026.2</v>
      </c>
      <c r="O81" s="149">
        <f t="shared" si="121"/>
        <v>900.5</v>
      </c>
      <c r="P81" s="149">
        <f t="shared" si="122"/>
        <v>87.750925745468706</v>
      </c>
      <c r="Q81" s="149">
        <f t="shared" si="123"/>
        <v>646.5</v>
      </c>
      <c r="R81" s="149">
        <f t="shared" si="123"/>
        <v>646.5</v>
      </c>
      <c r="S81" s="149">
        <f t="shared" si="124"/>
        <v>100</v>
      </c>
      <c r="T81" s="149">
        <f t="shared" si="125"/>
        <v>651.30000000000007</v>
      </c>
      <c r="U81" s="149">
        <f t="shared" si="125"/>
        <v>667.4</v>
      </c>
      <c r="V81" s="149">
        <f t="shared" si="126"/>
        <v>102.47197911868568</v>
      </c>
      <c r="W81" s="149">
        <f t="shared" si="127"/>
        <v>365.5</v>
      </c>
      <c r="X81" s="149">
        <f t="shared" si="127"/>
        <v>374.9</v>
      </c>
      <c r="Y81" s="149">
        <f t="shared" si="128"/>
        <v>102.5718194254446</v>
      </c>
      <c r="Z81" s="149">
        <f t="shared" si="129"/>
        <v>354.6</v>
      </c>
      <c r="AA81" s="149">
        <f t="shared" si="129"/>
        <v>354.6</v>
      </c>
      <c r="AB81" s="149">
        <f t="shared" si="130"/>
        <v>100</v>
      </c>
      <c r="AC81" s="149">
        <f t="shared" si="131"/>
        <v>640.9</v>
      </c>
      <c r="AD81" s="149">
        <f t="shared" si="131"/>
        <v>643.70000000000005</v>
      </c>
      <c r="AE81" s="149">
        <f t="shared" si="132"/>
        <v>100.43688562958341</v>
      </c>
      <c r="AF81" s="149">
        <f t="shared" si="133"/>
        <v>371.9</v>
      </c>
      <c r="AG81" s="149">
        <f t="shared" si="133"/>
        <v>369.6</v>
      </c>
      <c r="AH81" s="149">
        <f t="shared" si="134"/>
        <v>99.381554181231522</v>
      </c>
      <c r="AI81" s="149">
        <f t="shared" si="135"/>
        <v>403.6</v>
      </c>
      <c r="AJ81" s="149">
        <f t="shared" si="135"/>
        <v>403.6</v>
      </c>
      <c r="AK81" s="149">
        <f t="shared" si="136"/>
        <v>100</v>
      </c>
      <c r="AL81" s="149">
        <f t="shared" si="137"/>
        <v>341</v>
      </c>
      <c r="AM81" s="149">
        <f t="shared" si="137"/>
        <v>341</v>
      </c>
      <c r="AN81" s="149">
        <f t="shared" si="138"/>
        <v>100</v>
      </c>
      <c r="AO81" s="149">
        <f t="shared" si="139"/>
        <v>3321.7</v>
      </c>
      <c r="AP81" s="149">
        <f t="shared" si="139"/>
        <v>3421.4</v>
      </c>
      <c r="AQ81" s="149">
        <f t="shared" si="140"/>
        <v>103.00147514826745</v>
      </c>
      <c r="AR81" s="431"/>
      <c r="AS81" s="432"/>
      <c r="AT81" s="121"/>
      <c r="AU81" s="121"/>
      <c r="AV81" s="155"/>
    </row>
    <row r="82" spans="1:48" s="31" customFormat="1" ht="51" customHeight="1">
      <c r="A82" s="434"/>
      <c r="B82" s="434"/>
      <c r="C82" s="434"/>
      <c r="D82" s="229" t="s">
        <v>441</v>
      </c>
      <c r="E82" s="123">
        <f t="shared" ref="E82:F82" si="141">H82+K82+N82+Q82+T82+W82+Z82+AC82+AF82+AI82+AL82+AO82</f>
        <v>0</v>
      </c>
      <c r="F82" s="123">
        <f t="shared" si="141"/>
        <v>359.4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f>11+99.5</f>
        <v>110.5</v>
      </c>
      <c r="M82" s="123">
        <v>0</v>
      </c>
      <c r="N82" s="123">
        <v>0</v>
      </c>
      <c r="O82" s="123">
        <v>0</v>
      </c>
      <c r="P82" s="123">
        <v>0</v>
      </c>
      <c r="Q82" s="123">
        <v>0</v>
      </c>
      <c r="R82" s="123">
        <v>99</v>
      </c>
      <c r="S82" s="123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17">
        <v>0</v>
      </c>
      <c r="Z82" s="123">
        <v>0</v>
      </c>
      <c r="AA82" s="123">
        <v>149.9</v>
      </c>
      <c r="AB82" s="123">
        <v>0</v>
      </c>
      <c r="AC82" s="117">
        <v>0</v>
      </c>
      <c r="AD82" s="117">
        <v>0</v>
      </c>
      <c r="AE82" s="117">
        <v>0</v>
      </c>
      <c r="AF82" s="117">
        <v>0</v>
      </c>
      <c r="AG82" s="117">
        <v>0</v>
      </c>
      <c r="AH82" s="117">
        <v>0</v>
      </c>
      <c r="AI82" s="123">
        <v>0</v>
      </c>
      <c r="AJ82" s="123">
        <v>0</v>
      </c>
      <c r="AK82" s="123">
        <v>0</v>
      </c>
      <c r="AL82" s="117">
        <v>0</v>
      </c>
      <c r="AM82" s="117">
        <v>0</v>
      </c>
      <c r="AN82" s="117">
        <v>0</v>
      </c>
      <c r="AO82" s="117">
        <v>0</v>
      </c>
      <c r="AP82" s="123">
        <v>0</v>
      </c>
      <c r="AQ82" s="123">
        <v>0</v>
      </c>
      <c r="AR82" s="431"/>
      <c r="AS82" s="432"/>
      <c r="AT82" s="121"/>
      <c r="AU82" s="121"/>
      <c r="AV82" s="155"/>
    </row>
    <row r="83" spans="1:48" s="31" customFormat="1" ht="27.75" customHeight="1">
      <c r="A83" s="434"/>
      <c r="B83" s="434"/>
      <c r="C83" s="434"/>
      <c r="D83" s="223" t="s">
        <v>469</v>
      </c>
      <c r="E83" s="149">
        <f>H83+K83+N83+Q83+T83+W83+Z83+AC83+AF83+AI83+AL83+AO83</f>
        <v>0</v>
      </c>
      <c r="F83" s="149">
        <f>I83+L83+O83+R83+U83+X83+AA83+AD83+AG83+AJ83+AM83+AP83</f>
        <v>0</v>
      </c>
      <c r="G83" s="149">
        <v>0</v>
      </c>
      <c r="H83" s="149">
        <v>0</v>
      </c>
      <c r="I83" s="149">
        <v>0</v>
      </c>
      <c r="J83" s="149">
        <v>0</v>
      </c>
      <c r="K83" s="243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244">
        <v>0</v>
      </c>
      <c r="U83" s="244">
        <v>0</v>
      </c>
      <c r="V83" s="149">
        <v>0</v>
      </c>
      <c r="W83" s="244">
        <v>0</v>
      </c>
      <c r="X83" s="244">
        <v>0</v>
      </c>
      <c r="Y83" s="244">
        <v>0</v>
      </c>
      <c r="Z83" s="244">
        <v>0</v>
      </c>
      <c r="AA83" s="244">
        <v>0</v>
      </c>
      <c r="AB83" s="244">
        <v>0</v>
      </c>
      <c r="AC83" s="244">
        <v>0</v>
      </c>
      <c r="AD83" s="244">
        <v>0</v>
      </c>
      <c r="AE83" s="244">
        <v>0</v>
      </c>
      <c r="AF83" s="244">
        <v>0</v>
      </c>
      <c r="AG83" s="244">
        <v>0</v>
      </c>
      <c r="AH83" s="149">
        <v>0</v>
      </c>
      <c r="AI83" s="149">
        <v>0</v>
      </c>
      <c r="AJ83" s="149">
        <v>0</v>
      </c>
      <c r="AK83" s="149">
        <v>0</v>
      </c>
      <c r="AL83" s="244">
        <v>0</v>
      </c>
      <c r="AM83" s="244">
        <v>0</v>
      </c>
      <c r="AN83" s="244">
        <v>0</v>
      </c>
      <c r="AO83" s="149">
        <v>0</v>
      </c>
      <c r="AP83" s="123">
        <v>0</v>
      </c>
      <c r="AQ83" s="123">
        <v>0</v>
      </c>
      <c r="AR83" s="431"/>
      <c r="AS83" s="432"/>
      <c r="AT83" s="121"/>
      <c r="AU83" s="121"/>
      <c r="AV83" s="155"/>
    </row>
    <row r="84" spans="1:48" s="31" customFormat="1" ht="12.75" customHeight="1">
      <c r="A84" s="433" t="s">
        <v>491</v>
      </c>
      <c r="B84" s="433"/>
      <c r="C84" s="433"/>
      <c r="D84" s="143" t="s">
        <v>444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0</v>
      </c>
      <c r="AD84" s="123">
        <v>0</v>
      </c>
      <c r="AE84" s="123">
        <v>0</v>
      </c>
      <c r="AF84" s="123">
        <v>0</v>
      </c>
      <c r="AG84" s="123">
        <v>0</v>
      </c>
      <c r="AH84" s="123">
        <v>0</v>
      </c>
      <c r="AI84" s="123">
        <v>0</v>
      </c>
      <c r="AJ84" s="123">
        <v>0</v>
      </c>
      <c r="AK84" s="123">
        <v>0</v>
      </c>
      <c r="AL84" s="123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431"/>
      <c r="AS84" s="432"/>
      <c r="AT84" s="121"/>
      <c r="AU84" s="121"/>
      <c r="AV84" s="155"/>
    </row>
    <row r="85" spans="1:48" s="31" customFormat="1" ht="48">
      <c r="A85" s="433"/>
      <c r="B85" s="433"/>
      <c r="C85" s="433"/>
      <c r="D85" s="225" t="s">
        <v>442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23">
        <v>0</v>
      </c>
      <c r="AC85" s="123">
        <v>0</v>
      </c>
      <c r="AD85" s="123">
        <v>0</v>
      </c>
      <c r="AE85" s="123">
        <v>0</v>
      </c>
      <c r="AF85" s="123">
        <v>0</v>
      </c>
      <c r="AG85" s="123">
        <v>0</v>
      </c>
      <c r="AH85" s="123">
        <v>0</v>
      </c>
      <c r="AI85" s="123">
        <v>0</v>
      </c>
      <c r="AJ85" s="123">
        <v>0</v>
      </c>
      <c r="AK85" s="123">
        <v>0</v>
      </c>
      <c r="AL85" s="123">
        <v>0</v>
      </c>
      <c r="AM85" s="123">
        <v>0</v>
      </c>
      <c r="AN85" s="123">
        <v>0</v>
      </c>
      <c r="AO85" s="123">
        <v>0</v>
      </c>
      <c r="AP85" s="123">
        <v>0</v>
      </c>
      <c r="AQ85" s="123">
        <v>0</v>
      </c>
      <c r="AR85" s="431"/>
      <c r="AS85" s="432"/>
      <c r="AT85" s="121"/>
      <c r="AU85" s="121"/>
      <c r="AV85" s="155"/>
    </row>
    <row r="86" spans="1:48" s="31" customFormat="1" ht="23.25" customHeight="1">
      <c r="A86" s="433"/>
      <c r="B86" s="433"/>
      <c r="C86" s="433"/>
      <c r="D86" s="225" t="s">
        <v>463</v>
      </c>
      <c r="E86" s="123">
        <v>0</v>
      </c>
      <c r="F86" s="123">
        <v>0</v>
      </c>
      <c r="G86" s="123">
        <v>0</v>
      </c>
      <c r="H86" s="123">
        <v>0</v>
      </c>
      <c r="I86" s="123">
        <v>0</v>
      </c>
      <c r="J86" s="123">
        <v>0</v>
      </c>
      <c r="K86" s="123">
        <v>0</v>
      </c>
      <c r="L86" s="123">
        <v>0</v>
      </c>
      <c r="M86" s="123">
        <v>0</v>
      </c>
      <c r="N86" s="123">
        <v>0</v>
      </c>
      <c r="O86" s="123">
        <v>0</v>
      </c>
      <c r="P86" s="123">
        <v>0</v>
      </c>
      <c r="Q86" s="123">
        <v>0</v>
      </c>
      <c r="R86" s="123">
        <v>0</v>
      </c>
      <c r="S86" s="123">
        <v>0</v>
      </c>
      <c r="T86" s="123">
        <v>0</v>
      </c>
      <c r="U86" s="123">
        <v>0</v>
      </c>
      <c r="V86" s="123">
        <v>0</v>
      </c>
      <c r="W86" s="123">
        <v>0</v>
      </c>
      <c r="X86" s="123">
        <v>0</v>
      </c>
      <c r="Y86" s="123">
        <v>0</v>
      </c>
      <c r="Z86" s="123">
        <v>0</v>
      </c>
      <c r="AA86" s="123">
        <v>0</v>
      </c>
      <c r="AB86" s="123">
        <v>0</v>
      </c>
      <c r="AC86" s="123">
        <v>0</v>
      </c>
      <c r="AD86" s="123">
        <v>0</v>
      </c>
      <c r="AE86" s="123">
        <v>0</v>
      </c>
      <c r="AF86" s="123">
        <v>0</v>
      </c>
      <c r="AG86" s="123">
        <v>0</v>
      </c>
      <c r="AH86" s="123">
        <v>0</v>
      </c>
      <c r="AI86" s="123">
        <v>0</v>
      </c>
      <c r="AJ86" s="123">
        <v>0</v>
      </c>
      <c r="AK86" s="123">
        <v>0</v>
      </c>
      <c r="AL86" s="123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431"/>
      <c r="AS86" s="432"/>
      <c r="AT86" s="121"/>
      <c r="AU86" s="121"/>
      <c r="AV86" s="155"/>
    </row>
    <row r="87" spans="1:48" s="31" customFormat="1" ht="30.75" customHeight="1">
      <c r="A87" s="433"/>
      <c r="B87" s="433"/>
      <c r="C87" s="433"/>
      <c r="D87" s="143" t="s">
        <v>257</v>
      </c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3">
        <v>0</v>
      </c>
      <c r="AB87" s="123">
        <v>0</v>
      </c>
      <c r="AC87" s="123">
        <v>0</v>
      </c>
      <c r="AD87" s="123">
        <v>0</v>
      </c>
      <c r="AE87" s="123">
        <v>0</v>
      </c>
      <c r="AF87" s="123">
        <v>0</v>
      </c>
      <c r="AG87" s="123">
        <v>0</v>
      </c>
      <c r="AH87" s="123">
        <v>0</v>
      </c>
      <c r="AI87" s="123">
        <v>0</v>
      </c>
      <c r="AJ87" s="123">
        <v>0</v>
      </c>
      <c r="AK87" s="123">
        <v>0</v>
      </c>
      <c r="AL87" s="123">
        <v>0</v>
      </c>
      <c r="AM87" s="123">
        <v>0</v>
      </c>
      <c r="AN87" s="123">
        <v>0</v>
      </c>
      <c r="AO87" s="123">
        <v>0</v>
      </c>
      <c r="AP87" s="123">
        <v>0</v>
      </c>
      <c r="AQ87" s="123">
        <v>0</v>
      </c>
      <c r="AR87" s="431"/>
      <c r="AS87" s="432"/>
      <c r="AT87" s="121"/>
      <c r="AU87" s="121"/>
      <c r="AV87" s="155"/>
    </row>
    <row r="88" spans="1:48" s="31" customFormat="1" ht="51" customHeight="1">
      <c r="A88" s="433"/>
      <c r="B88" s="433"/>
      <c r="C88" s="433"/>
      <c r="D88" s="229" t="s">
        <v>441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3">
        <v>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3">
        <v>0</v>
      </c>
      <c r="AB88" s="123">
        <v>0</v>
      </c>
      <c r="AC88" s="123">
        <v>0</v>
      </c>
      <c r="AD88" s="123">
        <v>0</v>
      </c>
      <c r="AE88" s="123">
        <v>0</v>
      </c>
      <c r="AF88" s="123">
        <v>0</v>
      </c>
      <c r="AG88" s="123">
        <v>0</v>
      </c>
      <c r="AH88" s="123">
        <v>0</v>
      </c>
      <c r="AI88" s="123">
        <v>0</v>
      </c>
      <c r="AJ88" s="123">
        <v>0</v>
      </c>
      <c r="AK88" s="123">
        <v>0</v>
      </c>
      <c r="AL88" s="123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431"/>
      <c r="AS88" s="432"/>
      <c r="AT88" s="121"/>
      <c r="AU88" s="121"/>
      <c r="AV88" s="155"/>
    </row>
    <row r="89" spans="1:48" s="31" customFormat="1" ht="27.75" customHeight="1">
      <c r="A89" s="433"/>
      <c r="B89" s="433"/>
      <c r="C89" s="433"/>
      <c r="D89" s="143" t="s">
        <v>469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  <c r="N89" s="123">
        <v>0</v>
      </c>
      <c r="O89" s="123">
        <v>0</v>
      </c>
      <c r="P89" s="123">
        <v>0</v>
      </c>
      <c r="Q89" s="123">
        <v>0</v>
      </c>
      <c r="R89" s="123">
        <v>0</v>
      </c>
      <c r="S89" s="123">
        <v>0</v>
      </c>
      <c r="T89" s="123">
        <v>0</v>
      </c>
      <c r="U89" s="123">
        <v>0</v>
      </c>
      <c r="V89" s="123">
        <v>0</v>
      </c>
      <c r="W89" s="123">
        <v>0</v>
      </c>
      <c r="X89" s="123">
        <v>0</v>
      </c>
      <c r="Y89" s="123">
        <v>0</v>
      </c>
      <c r="Z89" s="123">
        <v>0</v>
      </c>
      <c r="AA89" s="123">
        <v>0</v>
      </c>
      <c r="AB89" s="123">
        <v>0</v>
      </c>
      <c r="AC89" s="123">
        <v>0</v>
      </c>
      <c r="AD89" s="123">
        <v>0</v>
      </c>
      <c r="AE89" s="123">
        <v>0</v>
      </c>
      <c r="AF89" s="123">
        <v>0</v>
      </c>
      <c r="AG89" s="123">
        <v>0</v>
      </c>
      <c r="AH89" s="123">
        <v>0</v>
      </c>
      <c r="AI89" s="123">
        <v>0</v>
      </c>
      <c r="AJ89" s="123">
        <v>0</v>
      </c>
      <c r="AK89" s="123">
        <v>0</v>
      </c>
      <c r="AL89" s="123">
        <v>0</v>
      </c>
      <c r="AM89" s="123">
        <v>0</v>
      </c>
      <c r="AN89" s="123">
        <v>0</v>
      </c>
      <c r="AO89" s="123">
        <v>0</v>
      </c>
      <c r="AP89" s="123">
        <v>0</v>
      </c>
      <c r="AQ89" s="123">
        <v>0</v>
      </c>
      <c r="AR89" s="431"/>
      <c r="AS89" s="432"/>
      <c r="AT89" s="121"/>
      <c r="AU89" s="121"/>
      <c r="AV89" s="155"/>
    </row>
    <row r="90" spans="1:48" s="100" customFormat="1" ht="12.75" customHeight="1">
      <c r="A90" s="434" t="s">
        <v>492</v>
      </c>
      <c r="B90" s="434"/>
      <c r="C90" s="434"/>
      <c r="D90" s="223" t="s">
        <v>444</v>
      </c>
      <c r="E90" s="149">
        <f t="shared" ref="E90:F95" si="142">E78</f>
        <v>432708.8</v>
      </c>
      <c r="F90" s="149">
        <f t="shared" si="142"/>
        <v>429325.2</v>
      </c>
      <c r="G90" s="149">
        <f>F90/E90*100</f>
        <v>99.218042249198547</v>
      </c>
      <c r="H90" s="149">
        <f t="shared" ref="H90:I95" si="143">H78</f>
        <v>7973.2</v>
      </c>
      <c r="I90" s="149">
        <f t="shared" si="143"/>
        <v>7014.9999999999991</v>
      </c>
      <c r="J90" s="149">
        <f>I90/H90*100</f>
        <v>87.982240505694065</v>
      </c>
      <c r="K90" s="149">
        <f t="shared" ref="K90:L95" si="144">K78</f>
        <v>31249.000000000004</v>
      </c>
      <c r="L90" s="149">
        <f t="shared" si="144"/>
        <v>30424.100000000002</v>
      </c>
      <c r="M90" s="149">
        <f>L90/K90*100</f>
        <v>97.360235527536872</v>
      </c>
      <c r="N90" s="149">
        <f t="shared" ref="N90:O95" si="145">N78</f>
        <v>50894.700000000004</v>
      </c>
      <c r="O90" s="149">
        <f t="shared" si="145"/>
        <v>49033.5</v>
      </c>
      <c r="P90" s="149">
        <f>O90/N90*100</f>
        <v>96.343037683688081</v>
      </c>
      <c r="Q90" s="149">
        <f t="shared" ref="Q90:R95" si="146">Q78</f>
        <v>38697.300000000003</v>
      </c>
      <c r="R90" s="149">
        <f t="shared" si="146"/>
        <v>35993.299999999996</v>
      </c>
      <c r="S90" s="149">
        <f>R90/Q90*100</f>
        <v>93.012432391923966</v>
      </c>
      <c r="T90" s="149">
        <f t="shared" ref="T90:U95" si="147">T78</f>
        <v>34689.200000000004</v>
      </c>
      <c r="U90" s="149">
        <f t="shared" si="147"/>
        <v>34118.200000000004</v>
      </c>
      <c r="V90" s="149">
        <f>U90/T90*100</f>
        <v>98.353954544930417</v>
      </c>
      <c r="W90" s="149">
        <f t="shared" ref="W90:X95" si="148">W78</f>
        <v>43137.5</v>
      </c>
      <c r="X90" s="149">
        <f t="shared" si="148"/>
        <v>37382.30000000001</v>
      </c>
      <c r="Y90" s="149">
        <f>X90/W90*100</f>
        <v>86.658475804114772</v>
      </c>
      <c r="Z90" s="149">
        <f t="shared" ref="Z90:AA95" si="149">Z78</f>
        <v>42128.599999999991</v>
      </c>
      <c r="AA90" s="149">
        <f t="shared" si="149"/>
        <v>40047.599999999999</v>
      </c>
      <c r="AB90" s="149">
        <f>AA90/Z90*100</f>
        <v>95.060362793921485</v>
      </c>
      <c r="AC90" s="149">
        <f t="shared" ref="AC90:AD95" si="150">AC78</f>
        <v>34219.000000000007</v>
      </c>
      <c r="AD90" s="149">
        <f t="shared" si="150"/>
        <v>33240.6</v>
      </c>
      <c r="AE90" s="149">
        <f>AD90/AC90*100</f>
        <v>97.140769747800903</v>
      </c>
      <c r="AF90" s="149">
        <f t="shared" ref="AF90:AG95" si="151">AF78</f>
        <v>34331.9</v>
      </c>
      <c r="AG90" s="149">
        <f t="shared" si="151"/>
        <v>29828.299999999996</v>
      </c>
      <c r="AH90" s="149">
        <f>AG90/AF90*100</f>
        <v>86.882170809072605</v>
      </c>
      <c r="AI90" s="149">
        <f t="shared" ref="AI90:AJ95" si="152">AI78</f>
        <v>35229.299999999996</v>
      </c>
      <c r="AJ90" s="149">
        <f t="shared" si="152"/>
        <v>36433.599999999991</v>
      </c>
      <c r="AK90" s="149">
        <f>AJ90/AI90*100</f>
        <v>103.4184613375798</v>
      </c>
      <c r="AL90" s="149">
        <f t="shared" ref="AL90:AM95" si="153">AL78</f>
        <v>29806.2</v>
      </c>
      <c r="AM90" s="149">
        <f t="shared" si="153"/>
        <v>30583.899999999998</v>
      </c>
      <c r="AN90" s="149">
        <f>AM90/AL90*100</f>
        <v>102.60918869228549</v>
      </c>
      <c r="AO90" s="149">
        <f t="shared" ref="AO90:AP95" si="154">AO78</f>
        <v>50352.899999999994</v>
      </c>
      <c r="AP90" s="149">
        <f t="shared" si="154"/>
        <v>65224.800000000003</v>
      </c>
      <c r="AQ90" s="149">
        <f>AP90/AO90*100</f>
        <v>129.53533957329174</v>
      </c>
      <c r="AR90" s="431"/>
      <c r="AS90" s="432"/>
      <c r="AT90" s="121"/>
      <c r="AU90" s="121"/>
      <c r="AV90" s="155"/>
    </row>
    <row r="91" spans="1:48" s="100" customFormat="1" ht="48">
      <c r="A91" s="434"/>
      <c r="B91" s="434"/>
      <c r="C91" s="434"/>
      <c r="D91" s="222" t="s">
        <v>442</v>
      </c>
      <c r="E91" s="149">
        <f t="shared" si="142"/>
        <v>119445.00000000003</v>
      </c>
      <c r="F91" s="149">
        <f t="shared" si="142"/>
        <v>119354.40000000002</v>
      </c>
      <c r="G91" s="149">
        <f>F91/E91*100</f>
        <v>99.92414919000376</v>
      </c>
      <c r="H91" s="149">
        <f t="shared" si="143"/>
        <v>566.4</v>
      </c>
      <c r="I91" s="149">
        <f t="shared" si="143"/>
        <v>433.1</v>
      </c>
      <c r="J91" s="149">
        <f t="shared" ref="J91:J93" si="155">I91/H91*100</f>
        <v>76.465395480225993</v>
      </c>
      <c r="K91" s="149">
        <f t="shared" si="144"/>
        <v>8592</v>
      </c>
      <c r="L91" s="149">
        <f t="shared" si="144"/>
        <v>7905.0999999999995</v>
      </c>
      <c r="M91" s="149">
        <f t="shared" ref="M91:M93" si="156">L91/K91*100</f>
        <v>92.005353817504655</v>
      </c>
      <c r="N91" s="149">
        <f t="shared" si="145"/>
        <v>10275.099999999999</v>
      </c>
      <c r="O91" s="149">
        <f t="shared" si="145"/>
        <v>9828.4000000000015</v>
      </c>
      <c r="P91" s="149">
        <f t="shared" ref="P91:P93" si="157">O91/N91*100</f>
        <v>95.652597055016514</v>
      </c>
      <c r="Q91" s="149">
        <f t="shared" si="146"/>
        <v>9325.6000000000022</v>
      </c>
      <c r="R91" s="149">
        <f t="shared" si="146"/>
        <v>9728.1</v>
      </c>
      <c r="S91" s="149">
        <f t="shared" ref="S91:S93" si="158">R91/Q91*100</f>
        <v>104.3160761774041</v>
      </c>
      <c r="T91" s="149">
        <f t="shared" si="147"/>
        <v>8185.8</v>
      </c>
      <c r="U91" s="149">
        <f t="shared" si="147"/>
        <v>8152.2999999999993</v>
      </c>
      <c r="V91" s="149">
        <f t="shared" ref="V91:V93" si="159">U91/T91*100</f>
        <v>99.59075472159104</v>
      </c>
      <c r="W91" s="149">
        <f t="shared" si="148"/>
        <v>10749.800000000003</v>
      </c>
      <c r="X91" s="149">
        <f t="shared" si="148"/>
        <v>9943.9000000000015</v>
      </c>
      <c r="Y91" s="149">
        <f t="shared" ref="Y91:Y93" si="160">X91/W91*100</f>
        <v>92.503116337048112</v>
      </c>
      <c r="Z91" s="149">
        <f t="shared" si="149"/>
        <v>12261.399999999998</v>
      </c>
      <c r="AA91" s="149">
        <f t="shared" si="149"/>
        <v>11228.8</v>
      </c>
      <c r="AB91" s="149">
        <f t="shared" ref="AB91:AB93" si="161">AA91/Z91*100</f>
        <v>91.578449442967369</v>
      </c>
      <c r="AC91" s="149">
        <f t="shared" si="150"/>
        <v>11757.6</v>
      </c>
      <c r="AD91" s="149">
        <f t="shared" si="150"/>
        <v>10944.3</v>
      </c>
      <c r="AE91" s="149">
        <f t="shared" ref="AE91:AE93" si="162">AD91/AC91*100</f>
        <v>93.082771994284542</v>
      </c>
      <c r="AF91" s="149">
        <f t="shared" si="151"/>
        <v>8857.9000000000015</v>
      </c>
      <c r="AG91" s="149">
        <f t="shared" si="151"/>
        <v>8316.4</v>
      </c>
      <c r="AH91" s="149">
        <f t="shared" ref="AH91:AH93" si="163">AG91/AF91*100</f>
        <v>93.886812901477754</v>
      </c>
      <c r="AI91" s="149">
        <f t="shared" si="152"/>
        <v>9412.5999999999985</v>
      </c>
      <c r="AJ91" s="149">
        <f t="shared" si="152"/>
        <v>10533.699999999999</v>
      </c>
      <c r="AK91" s="149">
        <f t="shared" ref="AK91:AK93" si="164">AJ91/AI91*100</f>
        <v>111.91063043154921</v>
      </c>
      <c r="AL91" s="149">
        <f t="shared" si="153"/>
        <v>8683.9000000000015</v>
      </c>
      <c r="AM91" s="149">
        <f t="shared" si="153"/>
        <v>9061.2999999999993</v>
      </c>
      <c r="AN91" s="149">
        <f t="shared" ref="AN91:AN93" si="165">AM91/AL91*100</f>
        <v>104.34597358329781</v>
      </c>
      <c r="AO91" s="149">
        <f t="shared" si="154"/>
        <v>20776.900000000001</v>
      </c>
      <c r="AP91" s="149">
        <f t="shared" si="154"/>
        <v>23279</v>
      </c>
      <c r="AQ91" s="149">
        <f t="shared" ref="AQ91:AQ93" si="166">AP91/AO91*100</f>
        <v>112.04270126919799</v>
      </c>
      <c r="AR91" s="431"/>
      <c r="AS91" s="432"/>
      <c r="AT91" s="121"/>
      <c r="AU91" s="121"/>
      <c r="AV91" s="155"/>
    </row>
    <row r="92" spans="1:48" s="100" customFormat="1" ht="23.25" customHeight="1">
      <c r="A92" s="434"/>
      <c r="B92" s="434"/>
      <c r="C92" s="434"/>
      <c r="D92" s="222" t="s">
        <v>463</v>
      </c>
      <c r="E92" s="149">
        <f t="shared" si="142"/>
        <v>304752</v>
      </c>
      <c r="F92" s="149">
        <f t="shared" si="142"/>
        <v>301459</v>
      </c>
      <c r="G92" s="149">
        <f>F92/E92*100</f>
        <v>98.919449257100851</v>
      </c>
      <c r="H92" s="149">
        <f t="shared" si="143"/>
        <v>7350.6</v>
      </c>
      <c r="I92" s="149">
        <f t="shared" si="143"/>
        <v>6525.6999999999989</v>
      </c>
      <c r="J92" s="149">
        <f t="shared" si="155"/>
        <v>88.77778684733218</v>
      </c>
      <c r="K92" s="149">
        <f t="shared" si="144"/>
        <v>22324.600000000002</v>
      </c>
      <c r="L92" s="149">
        <f t="shared" si="144"/>
        <v>22186.600000000002</v>
      </c>
      <c r="M92" s="149">
        <f t="shared" si="156"/>
        <v>99.381847827060739</v>
      </c>
      <c r="N92" s="149">
        <f t="shared" si="145"/>
        <v>39593.400000000009</v>
      </c>
      <c r="O92" s="149">
        <f t="shared" si="145"/>
        <v>38304.6</v>
      </c>
      <c r="P92" s="149">
        <f t="shared" si="157"/>
        <v>96.744912030792989</v>
      </c>
      <c r="Q92" s="149">
        <f t="shared" si="146"/>
        <v>28725.199999999997</v>
      </c>
      <c r="R92" s="149">
        <f t="shared" si="146"/>
        <v>25618.699999999997</v>
      </c>
      <c r="S92" s="149">
        <f t="shared" si="158"/>
        <v>89.185453887179193</v>
      </c>
      <c r="T92" s="149">
        <f t="shared" si="147"/>
        <v>25852.1</v>
      </c>
      <c r="U92" s="149">
        <f t="shared" si="147"/>
        <v>25298.5</v>
      </c>
      <c r="V92" s="149">
        <f t="shared" si="159"/>
        <v>97.858587890345476</v>
      </c>
      <c r="W92" s="149">
        <f t="shared" si="148"/>
        <v>32022.199999999997</v>
      </c>
      <c r="X92" s="149">
        <f t="shared" si="148"/>
        <v>27063.500000000004</v>
      </c>
      <c r="Y92" s="149">
        <f t="shared" si="160"/>
        <v>84.514805353785832</v>
      </c>
      <c r="Z92" s="149">
        <f t="shared" si="149"/>
        <v>29512.599999999995</v>
      </c>
      <c r="AA92" s="149">
        <f t="shared" si="149"/>
        <v>28464.2</v>
      </c>
      <c r="AB92" s="149">
        <f t="shared" si="161"/>
        <v>96.447618983078428</v>
      </c>
      <c r="AC92" s="149">
        <f t="shared" si="150"/>
        <v>21820.500000000004</v>
      </c>
      <c r="AD92" s="149">
        <f t="shared" si="150"/>
        <v>21652.600000000002</v>
      </c>
      <c r="AE92" s="149">
        <f t="shared" si="162"/>
        <v>99.230540088448933</v>
      </c>
      <c r="AF92" s="149">
        <f t="shared" si="151"/>
        <v>25102.100000000002</v>
      </c>
      <c r="AG92" s="149">
        <f t="shared" si="151"/>
        <v>21142.3</v>
      </c>
      <c r="AH92" s="149">
        <f t="shared" si="163"/>
        <v>84.225224184430772</v>
      </c>
      <c r="AI92" s="149">
        <f t="shared" si="152"/>
        <v>25413.099999999995</v>
      </c>
      <c r="AJ92" s="149">
        <f t="shared" si="152"/>
        <v>25496.299999999996</v>
      </c>
      <c r="AK92" s="149">
        <f t="shared" si="164"/>
        <v>100.32739020426473</v>
      </c>
      <c r="AL92" s="149">
        <f t="shared" si="153"/>
        <v>20781.3</v>
      </c>
      <c r="AM92" s="149">
        <f t="shared" si="153"/>
        <v>21181.599999999999</v>
      </c>
      <c r="AN92" s="149">
        <f t="shared" si="165"/>
        <v>101.92625100450886</v>
      </c>
      <c r="AO92" s="149">
        <f t="shared" si="154"/>
        <v>26254.3</v>
      </c>
      <c r="AP92" s="149">
        <f t="shared" si="154"/>
        <v>38524.400000000001</v>
      </c>
      <c r="AQ92" s="149">
        <f t="shared" si="166"/>
        <v>146.73558236174645</v>
      </c>
      <c r="AR92" s="431"/>
      <c r="AS92" s="432"/>
      <c r="AT92" s="121"/>
      <c r="AU92" s="121"/>
      <c r="AV92" s="155"/>
    </row>
    <row r="93" spans="1:48" s="100" customFormat="1" ht="30.75" customHeight="1">
      <c r="A93" s="434"/>
      <c r="B93" s="434"/>
      <c r="C93" s="434"/>
      <c r="D93" s="223" t="s">
        <v>257</v>
      </c>
      <c r="E93" s="149">
        <f t="shared" si="142"/>
        <v>8511.7999999999993</v>
      </c>
      <c r="F93" s="149">
        <f t="shared" si="142"/>
        <v>8511.8000000000011</v>
      </c>
      <c r="G93" s="149">
        <f>F93/E93*100</f>
        <v>100.00000000000003</v>
      </c>
      <c r="H93" s="149">
        <f t="shared" si="143"/>
        <v>56.2</v>
      </c>
      <c r="I93" s="149">
        <f t="shared" si="143"/>
        <v>56.2</v>
      </c>
      <c r="J93" s="149">
        <f t="shared" si="155"/>
        <v>100</v>
      </c>
      <c r="K93" s="149">
        <f t="shared" si="144"/>
        <v>332.4</v>
      </c>
      <c r="L93" s="149">
        <f t="shared" si="144"/>
        <v>332.4</v>
      </c>
      <c r="M93" s="149">
        <f t="shared" si="156"/>
        <v>100</v>
      </c>
      <c r="N93" s="149">
        <f t="shared" si="145"/>
        <v>1026.2</v>
      </c>
      <c r="O93" s="149">
        <f t="shared" si="145"/>
        <v>900.5</v>
      </c>
      <c r="P93" s="149">
        <f t="shared" si="157"/>
        <v>87.750925745468706</v>
      </c>
      <c r="Q93" s="149">
        <f t="shared" si="146"/>
        <v>646.5</v>
      </c>
      <c r="R93" s="149">
        <f t="shared" si="146"/>
        <v>646.5</v>
      </c>
      <c r="S93" s="149">
        <f t="shared" si="158"/>
        <v>100</v>
      </c>
      <c r="T93" s="149">
        <f t="shared" si="147"/>
        <v>651.30000000000007</v>
      </c>
      <c r="U93" s="149">
        <f t="shared" si="147"/>
        <v>667.4</v>
      </c>
      <c r="V93" s="149">
        <f t="shared" si="159"/>
        <v>102.47197911868568</v>
      </c>
      <c r="W93" s="149">
        <f t="shared" si="148"/>
        <v>365.5</v>
      </c>
      <c r="X93" s="149">
        <f t="shared" si="148"/>
        <v>374.9</v>
      </c>
      <c r="Y93" s="149">
        <f t="shared" si="160"/>
        <v>102.5718194254446</v>
      </c>
      <c r="Z93" s="149">
        <f t="shared" si="149"/>
        <v>354.6</v>
      </c>
      <c r="AA93" s="149">
        <f t="shared" si="149"/>
        <v>354.6</v>
      </c>
      <c r="AB93" s="149">
        <f t="shared" si="161"/>
        <v>100</v>
      </c>
      <c r="AC93" s="149">
        <f t="shared" si="150"/>
        <v>640.9</v>
      </c>
      <c r="AD93" s="149">
        <f t="shared" si="150"/>
        <v>643.70000000000005</v>
      </c>
      <c r="AE93" s="149">
        <f t="shared" si="162"/>
        <v>100.43688562958341</v>
      </c>
      <c r="AF93" s="149">
        <f t="shared" si="151"/>
        <v>371.9</v>
      </c>
      <c r="AG93" s="149">
        <f t="shared" si="151"/>
        <v>369.6</v>
      </c>
      <c r="AH93" s="149">
        <f t="shared" si="163"/>
        <v>99.381554181231522</v>
      </c>
      <c r="AI93" s="149">
        <f t="shared" si="152"/>
        <v>403.6</v>
      </c>
      <c r="AJ93" s="149">
        <f t="shared" si="152"/>
        <v>403.6</v>
      </c>
      <c r="AK93" s="149">
        <f t="shared" si="164"/>
        <v>100</v>
      </c>
      <c r="AL93" s="149">
        <f t="shared" si="153"/>
        <v>341</v>
      </c>
      <c r="AM93" s="149">
        <f t="shared" si="153"/>
        <v>341</v>
      </c>
      <c r="AN93" s="149">
        <f t="shared" si="165"/>
        <v>100</v>
      </c>
      <c r="AO93" s="149">
        <f t="shared" si="154"/>
        <v>3321.7</v>
      </c>
      <c r="AP93" s="149">
        <f t="shared" si="154"/>
        <v>3421.4</v>
      </c>
      <c r="AQ93" s="149">
        <f t="shared" si="166"/>
        <v>103.00147514826745</v>
      </c>
      <c r="AR93" s="431"/>
      <c r="AS93" s="432"/>
      <c r="AT93" s="121"/>
      <c r="AU93" s="121"/>
      <c r="AV93" s="155"/>
    </row>
    <row r="94" spans="1:48" s="31" customFormat="1" ht="51" customHeight="1">
      <c r="A94" s="434"/>
      <c r="B94" s="434"/>
      <c r="C94" s="434"/>
      <c r="D94" s="229" t="s">
        <v>441</v>
      </c>
      <c r="E94" s="123">
        <f t="shared" si="142"/>
        <v>0</v>
      </c>
      <c r="F94" s="123">
        <f t="shared" si="142"/>
        <v>359.4</v>
      </c>
      <c r="G94" s="123">
        <v>0</v>
      </c>
      <c r="H94" s="123">
        <f t="shared" si="143"/>
        <v>0</v>
      </c>
      <c r="I94" s="123">
        <f t="shared" si="143"/>
        <v>0</v>
      </c>
      <c r="J94" s="123">
        <v>0</v>
      </c>
      <c r="K94" s="123">
        <f t="shared" si="144"/>
        <v>0</v>
      </c>
      <c r="L94" s="123">
        <f t="shared" si="144"/>
        <v>110.5</v>
      </c>
      <c r="M94" s="123">
        <v>0</v>
      </c>
      <c r="N94" s="123">
        <f t="shared" si="145"/>
        <v>0</v>
      </c>
      <c r="O94" s="123">
        <f t="shared" si="145"/>
        <v>0</v>
      </c>
      <c r="P94" s="123">
        <v>0</v>
      </c>
      <c r="Q94" s="123">
        <f t="shared" si="146"/>
        <v>0</v>
      </c>
      <c r="R94" s="123">
        <f t="shared" si="146"/>
        <v>99</v>
      </c>
      <c r="S94" s="123">
        <v>0</v>
      </c>
      <c r="T94" s="123">
        <f t="shared" si="147"/>
        <v>0</v>
      </c>
      <c r="U94" s="123">
        <f t="shared" si="147"/>
        <v>0</v>
      </c>
      <c r="V94" s="117">
        <v>0</v>
      </c>
      <c r="W94" s="123">
        <f t="shared" si="148"/>
        <v>0</v>
      </c>
      <c r="X94" s="123">
        <f t="shared" si="148"/>
        <v>0</v>
      </c>
      <c r="Y94" s="117">
        <v>0</v>
      </c>
      <c r="Z94" s="123">
        <f t="shared" si="149"/>
        <v>0</v>
      </c>
      <c r="AA94" s="123">
        <f t="shared" si="149"/>
        <v>149.9</v>
      </c>
      <c r="AB94" s="123">
        <v>0</v>
      </c>
      <c r="AC94" s="123">
        <f t="shared" si="150"/>
        <v>0</v>
      </c>
      <c r="AD94" s="123">
        <f t="shared" si="150"/>
        <v>0</v>
      </c>
      <c r="AE94" s="117">
        <v>0</v>
      </c>
      <c r="AF94" s="123">
        <f t="shared" si="151"/>
        <v>0</v>
      </c>
      <c r="AG94" s="123">
        <f t="shared" si="151"/>
        <v>0</v>
      </c>
      <c r="AH94" s="117">
        <v>0</v>
      </c>
      <c r="AI94" s="123">
        <f t="shared" si="152"/>
        <v>0</v>
      </c>
      <c r="AJ94" s="123">
        <f t="shared" si="152"/>
        <v>0</v>
      </c>
      <c r="AK94" s="123">
        <v>0</v>
      </c>
      <c r="AL94" s="123">
        <f t="shared" si="153"/>
        <v>0</v>
      </c>
      <c r="AM94" s="123">
        <f t="shared" si="153"/>
        <v>0</v>
      </c>
      <c r="AN94" s="117">
        <v>0</v>
      </c>
      <c r="AO94" s="123">
        <f t="shared" si="154"/>
        <v>0</v>
      </c>
      <c r="AP94" s="123">
        <f t="shared" si="154"/>
        <v>0</v>
      </c>
      <c r="AQ94" s="123">
        <v>0</v>
      </c>
      <c r="AR94" s="431"/>
      <c r="AS94" s="432"/>
      <c r="AT94" s="121"/>
      <c r="AU94" s="121"/>
      <c r="AV94" s="155"/>
    </row>
    <row r="95" spans="1:48" s="31" customFormat="1" ht="27.75" customHeight="1">
      <c r="A95" s="434"/>
      <c r="B95" s="434"/>
      <c r="C95" s="434"/>
      <c r="D95" s="223" t="s">
        <v>469</v>
      </c>
      <c r="E95" s="149">
        <f t="shared" si="142"/>
        <v>0</v>
      </c>
      <c r="F95" s="149">
        <f t="shared" si="142"/>
        <v>0</v>
      </c>
      <c r="G95" s="149">
        <v>0</v>
      </c>
      <c r="H95" s="149">
        <f t="shared" si="143"/>
        <v>0</v>
      </c>
      <c r="I95" s="149">
        <f t="shared" si="143"/>
        <v>0</v>
      </c>
      <c r="J95" s="149">
        <v>0</v>
      </c>
      <c r="K95" s="149">
        <f t="shared" si="144"/>
        <v>0</v>
      </c>
      <c r="L95" s="149">
        <f t="shared" si="144"/>
        <v>0</v>
      </c>
      <c r="M95" s="149">
        <v>0</v>
      </c>
      <c r="N95" s="149">
        <f t="shared" si="145"/>
        <v>0</v>
      </c>
      <c r="O95" s="149">
        <f t="shared" si="145"/>
        <v>0</v>
      </c>
      <c r="P95" s="149">
        <v>0</v>
      </c>
      <c r="Q95" s="149">
        <f t="shared" si="146"/>
        <v>0</v>
      </c>
      <c r="R95" s="149">
        <f t="shared" si="146"/>
        <v>0</v>
      </c>
      <c r="S95" s="149">
        <v>0</v>
      </c>
      <c r="T95" s="149">
        <f t="shared" si="147"/>
        <v>0</v>
      </c>
      <c r="U95" s="149">
        <f t="shared" si="147"/>
        <v>0</v>
      </c>
      <c r="V95" s="149">
        <v>0</v>
      </c>
      <c r="W95" s="149">
        <f t="shared" si="148"/>
        <v>0</v>
      </c>
      <c r="X95" s="149">
        <f t="shared" si="148"/>
        <v>0</v>
      </c>
      <c r="Y95" s="244">
        <v>0</v>
      </c>
      <c r="Z95" s="149">
        <f t="shared" si="149"/>
        <v>0</v>
      </c>
      <c r="AA95" s="149">
        <f t="shared" si="149"/>
        <v>0</v>
      </c>
      <c r="AB95" s="244">
        <v>0</v>
      </c>
      <c r="AC95" s="149">
        <f t="shared" si="150"/>
        <v>0</v>
      </c>
      <c r="AD95" s="149">
        <f t="shared" si="150"/>
        <v>0</v>
      </c>
      <c r="AE95" s="244">
        <v>0</v>
      </c>
      <c r="AF95" s="149">
        <f t="shared" si="151"/>
        <v>0</v>
      </c>
      <c r="AG95" s="149">
        <f t="shared" si="151"/>
        <v>0</v>
      </c>
      <c r="AH95" s="149">
        <v>0</v>
      </c>
      <c r="AI95" s="149">
        <f t="shared" si="152"/>
        <v>0</v>
      </c>
      <c r="AJ95" s="149">
        <f t="shared" si="152"/>
        <v>0</v>
      </c>
      <c r="AK95" s="149">
        <v>0</v>
      </c>
      <c r="AL95" s="149">
        <f t="shared" si="153"/>
        <v>0</v>
      </c>
      <c r="AM95" s="149">
        <f t="shared" si="153"/>
        <v>0</v>
      </c>
      <c r="AN95" s="244">
        <v>0</v>
      </c>
      <c r="AO95" s="149">
        <f t="shared" si="154"/>
        <v>0</v>
      </c>
      <c r="AP95" s="149">
        <f t="shared" si="154"/>
        <v>0</v>
      </c>
      <c r="AQ95" s="123">
        <v>0</v>
      </c>
      <c r="AR95" s="431"/>
      <c r="AS95" s="432"/>
      <c r="AT95" s="121"/>
      <c r="AU95" s="121"/>
      <c r="AV95" s="155"/>
    </row>
    <row r="96" spans="1:48" ht="15" customHeight="1">
      <c r="A96" s="460" t="s">
        <v>493</v>
      </c>
      <c r="B96" s="460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60"/>
      <c r="AL96" s="460"/>
      <c r="AM96" s="460"/>
      <c r="AN96" s="460"/>
      <c r="AO96" s="460"/>
      <c r="AP96" s="460"/>
      <c r="AQ96" s="460"/>
      <c r="AR96" s="213"/>
    </row>
    <row r="97" spans="1:48" s="31" customFormat="1" ht="12.75" customHeight="1">
      <c r="A97" s="430" t="s">
        <v>494</v>
      </c>
      <c r="B97" s="430"/>
      <c r="C97" s="430"/>
      <c r="D97" s="143" t="s">
        <v>444</v>
      </c>
      <c r="E97" s="123">
        <f>SUM(E98:E100)</f>
        <v>229652.10000000003</v>
      </c>
      <c r="F97" s="123">
        <f t="shared" ref="F97" si="167">SUM(F98:F100)</f>
        <v>227894.7</v>
      </c>
      <c r="G97" s="123">
        <f t="shared" ref="G97:G100" si="168">F97/E97*100</f>
        <v>99.234755528035663</v>
      </c>
      <c r="H97" s="123">
        <f t="shared" ref="H97:I97" si="169">SUM(H98:H100)</f>
        <v>5687.2999999999993</v>
      </c>
      <c r="I97" s="123">
        <f t="shared" si="169"/>
        <v>5253.5999999999995</v>
      </c>
      <c r="J97" s="123">
        <f>I97/H97*100</f>
        <v>92.374237335818407</v>
      </c>
      <c r="K97" s="123">
        <f t="shared" ref="K97:L97" si="170">SUM(K98:K100)</f>
        <v>16506.699999999997</v>
      </c>
      <c r="L97" s="123">
        <f t="shared" si="170"/>
        <v>15850.3</v>
      </c>
      <c r="M97" s="123">
        <f>L97/K97*100</f>
        <v>96.023432909061185</v>
      </c>
      <c r="N97" s="123">
        <f t="shared" ref="N97:O97" si="171">SUM(N98:N100)</f>
        <v>35028</v>
      </c>
      <c r="O97" s="123">
        <f t="shared" si="171"/>
        <v>34614.1</v>
      </c>
      <c r="P97" s="123">
        <f>O97/N97*100</f>
        <v>98.818373872330696</v>
      </c>
      <c r="Q97" s="123">
        <f t="shared" ref="Q97:R97" si="172">SUM(Q98:Q100)</f>
        <v>20022.100000000002</v>
      </c>
      <c r="R97" s="123">
        <f t="shared" si="172"/>
        <v>17658.2</v>
      </c>
      <c r="S97" s="123">
        <f>R97/Q97*100</f>
        <v>88.193546131524656</v>
      </c>
      <c r="T97" s="123">
        <f t="shared" ref="T97:U97" si="173">SUM(T98:T100)</f>
        <v>18190.099999999999</v>
      </c>
      <c r="U97" s="123">
        <f t="shared" si="173"/>
        <v>17885.599999999999</v>
      </c>
      <c r="V97" s="123">
        <f>U97/T97*100</f>
        <v>98.326012501305655</v>
      </c>
      <c r="W97" s="123">
        <f t="shared" ref="W97:AA97" si="174">SUM(W98:W100)</f>
        <v>24819.3</v>
      </c>
      <c r="X97" s="123">
        <f t="shared" si="174"/>
        <v>20133.600000000002</v>
      </c>
      <c r="Y97" s="123">
        <f t="shared" si="174"/>
        <v>244.2337193039331</v>
      </c>
      <c r="Z97" s="123">
        <f t="shared" si="174"/>
        <v>23588.299999999996</v>
      </c>
      <c r="AA97" s="123">
        <f t="shared" si="174"/>
        <v>22333.1</v>
      </c>
      <c r="AB97" s="117">
        <f t="shared" ref="AB97:AB100" si="175">AA97/Z97*100</f>
        <v>94.678717838928634</v>
      </c>
      <c r="AC97" s="123">
        <f t="shared" ref="AC97:AD97" si="176">SUM(AC98:AC100)</f>
        <v>17622.100000000002</v>
      </c>
      <c r="AD97" s="123">
        <f t="shared" si="176"/>
        <v>17272.400000000001</v>
      </c>
      <c r="AE97" s="123">
        <f t="shared" ref="AE97:AE100" si="177">AD97/AC97*100</f>
        <v>98.015560007036612</v>
      </c>
      <c r="AF97" s="123">
        <f t="shared" ref="AF97:AG97" si="178">SUM(AF98:AF100)</f>
        <v>16629.5</v>
      </c>
      <c r="AG97" s="123">
        <f t="shared" si="178"/>
        <v>13894.599999999999</v>
      </c>
      <c r="AH97" s="123">
        <f>AG97/AF97*100</f>
        <v>83.553925253314887</v>
      </c>
      <c r="AI97" s="123">
        <f t="shared" ref="AI97:AP97" si="179">SUM(AI98:AI100)</f>
        <v>17947.099999999999</v>
      </c>
      <c r="AJ97" s="123">
        <f t="shared" si="179"/>
        <v>17952.399999999998</v>
      </c>
      <c r="AK97" s="123">
        <f>AJ97/AI97*100</f>
        <v>100.02953123345833</v>
      </c>
      <c r="AL97" s="123">
        <f t="shared" si="179"/>
        <v>13747.800000000001</v>
      </c>
      <c r="AM97" s="123">
        <f t="shared" si="179"/>
        <v>13758.300000000001</v>
      </c>
      <c r="AN97" s="249">
        <f>AM97/AL97*100</f>
        <v>100.07637585650066</v>
      </c>
      <c r="AO97" s="123">
        <f t="shared" si="179"/>
        <v>19863.8</v>
      </c>
      <c r="AP97" s="123">
        <f t="shared" si="179"/>
        <v>31288.5</v>
      </c>
      <c r="AQ97" s="123">
        <f>AP97/AO97*100</f>
        <v>157.51517836466334</v>
      </c>
      <c r="AR97" s="431"/>
      <c r="AS97" s="432"/>
      <c r="AT97" s="121"/>
      <c r="AU97" s="121"/>
      <c r="AV97" s="155"/>
    </row>
    <row r="98" spans="1:48" s="31" customFormat="1" ht="48">
      <c r="A98" s="430"/>
      <c r="B98" s="430"/>
      <c r="C98" s="430"/>
      <c r="D98" s="225" t="s">
        <v>442</v>
      </c>
      <c r="E98" s="123">
        <f>H98+K98+N98+Q98+T98+W98+Z98+AC98+AF98+AI98+AL98+AO98</f>
        <v>18980.100000000002</v>
      </c>
      <c r="F98" s="123">
        <f>I98+L98+O98+R98+U98+X98+AA98+AD98+AG98+AJ98+AM98+AP98</f>
        <v>18906.099999999995</v>
      </c>
      <c r="G98" s="123">
        <f t="shared" si="168"/>
        <v>99.610117965658731</v>
      </c>
      <c r="H98" s="123">
        <f>H19-H158</f>
        <v>566.4</v>
      </c>
      <c r="I98" s="123">
        <f>I19-I158</f>
        <v>433.1</v>
      </c>
      <c r="J98" s="123">
        <f>I98/H98*100</f>
        <v>76.465395480225993</v>
      </c>
      <c r="K98" s="123">
        <f>K19-K158-76.7</f>
        <v>1834.4999999999989</v>
      </c>
      <c r="L98" s="123">
        <f>L19-L158-76.7</f>
        <v>1222.8999999999994</v>
      </c>
      <c r="M98" s="123">
        <f>L98/K98*100</f>
        <v>66.661215590079053</v>
      </c>
      <c r="N98" s="123">
        <f>N19-N158-156.8</f>
        <v>1746.0999999999997</v>
      </c>
      <c r="O98" s="123">
        <f>O19-O158-143</f>
        <v>2307</v>
      </c>
      <c r="P98" s="123">
        <f>O98/N98*100</f>
        <v>132.12301700933511</v>
      </c>
      <c r="Q98" s="123">
        <f>Q19-Q158-103.1</f>
        <v>676.1000000000007</v>
      </c>
      <c r="R98" s="123">
        <f>R19-R158-103.1</f>
        <v>1096.7999999999997</v>
      </c>
      <c r="S98" s="123">
        <f>R98/Q98*100</f>
        <v>162.22452299955609</v>
      </c>
      <c r="T98" s="123">
        <f>T19-T158-71.4</f>
        <v>1055.2000000000003</v>
      </c>
      <c r="U98" s="123">
        <f>U19-U158-71.4</f>
        <v>1082.9999999999995</v>
      </c>
      <c r="V98" s="117">
        <f t="shared" ref="V98:V99" si="180">U98/T98*100</f>
        <v>102.63457164518567</v>
      </c>
      <c r="W98" s="123">
        <f>W19-W158-94.5-0.1</f>
        <v>2094.7000000000021</v>
      </c>
      <c r="X98" s="123">
        <f>X19-X158-48</f>
        <v>1231.6999999999998</v>
      </c>
      <c r="Y98" s="117">
        <f t="shared" ref="Y98:Y99" si="181">X98/W98*100</f>
        <v>58.800782928342898</v>
      </c>
      <c r="Z98" s="123">
        <f>Z19-Z158-81.1+81.5</f>
        <v>2442.2999999999988</v>
      </c>
      <c r="AA98" s="123">
        <f>AA19-AA158-81.1+68.2</f>
        <v>1933.1000000000001</v>
      </c>
      <c r="AB98" s="117">
        <f t="shared" si="175"/>
        <v>79.150800474962168</v>
      </c>
      <c r="AC98" s="123">
        <f>AC19-AC158-48.6+69.3</f>
        <v>1987.1000000000006</v>
      </c>
      <c r="AD98" s="123">
        <f>AD19-AD158-48.6+4.2</f>
        <v>1493.6999999999996</v>
      </c>
      <c r="AE98" s="117">
        <f t="shared" si="177"/>
        <v>75.169845503497513</v>
      </c>
      <c r="AF98" s="123">
        <f>AF19-AF158-28.2+27.4</f>
        <v>399.80000000000126</v>
      </c>
      <c r="AG98" s="123">
        <f>AG19-AG158-47.1+52.5</f>
        <v>777.29999999999961</v>
      </c>
      <c r="AH98" s="123">
        <f t="shared" ref="AH98:AH100" si="182">AG98/AF98*100</f>
        <v>194.42221110555207</v>
      </c>
      <c r="AI98" s="123">
        <f>AI19-AI158-64.7+33.1</f>
        <v>1716.7999999999995</v>
      </c>
      <c r="AJ98" s="123">
        <f>AJ19-AJ158-64.7+25</f>
        <v>1708.6999999999996</v>
      </c>
      <c r="AK98" s="249">
        <f>AJ98/AI98*100</f>
        <v>99.52819198508854</v>
      </c>
      <c r="AL98" s="123">
        <f>AL19-AL158-116.4-96.1+17.5</f>
        <v>1162.6000000000004</v>
      </c>
      <c r="AM98" s="123">
        <f>AM19-AM158-116.4-96.1+28</f>
        <v>1173.1000000000004</v>
      </c>
      <c r="AN98" s="249">
        <f>AM98/AL98*100</f>
        <v>100.90314811629106</v>
      </c>
      <c r="AO98" s="123">
        <f>AO19-AO158-100.8</f>
        <v>3298.4999999999991</v>
      </c>
      <c r="AP98" s="123">
        <f>AP19-AP158-142.2+50.8</f>
        <v>4445.6999999999989</v>
      </c>
      <c r="AQ98" s="123">
        <f>AP98/AO98*100</f>
        <v>134.77944520236471</v>
      </c>
      <c r="AR98" s="431"/>
      <c r="AS98" s="432"/>
      <c r="AT98" s="121"/>
      <c r="AU98" s="121"/>
      <c r="AV98" s="155"/>
    </row>
    <row r="99" spans="1:48" s="31" customFormat="1" ht="23.25" customHeight="1">
      <c r="A99" s="430"/>
      <c r="B99" s="430"/>
      <c r="C99" s="430"/>
      <c r="D99" s="225" t="s">
        <v>463</v>
      </c>
      <c r="E99" s="123">
        <f t="shared" ref="E99:E100" si="183">H99+K99+N99+Q99+T99+W99+Z99+AC99+AF99+AI99+AL99+AO99</f>
        <v>202160.20000000004</v>
      </c>
      <c r="F99" s="123">
        <f t="shared" ref="F99:F100" si="184">I99+L99+O99+R99+U99+X99+AA99+AD99+AG99+AJ99+AM99+AP99</f>
        <v>200476.80000000002</v>
      </c>
      <c r="G99" s="123">
        <f t="shared" si="168"/>
        <v>99.167294056891507</v>
      </c>
      <c r="H99" s="123">
        <f>H20+H30</f>
        <v>5064.7</v>
      </c>
      <c r="I99" s="123">
        <f>I20+I30</f>
        <v>4764.2999999999993</v>
      </c>
      <c r="J99" s="123">
        <f>I99/H99*100</f>
        <v>94.068750370209472</v>
      </c>
      <c r="K99" s="123">
        <f>K20+K30</f>
        <v>14339.8</v>
      </c>
      <c r="L99" s="123">
        <f>L20+L30</f>
        <v>14295</v>
      </c>
      <c r="M99" s="123">
        <f t="shared" ref="M99:M100" si="185">L99/K99*100</f>
        <v>99.687582811475764</v>
      </c>
      <c r="N99" s="123">
        <f>N20+N30</f>
        <v>32255.700000000004</v>
      </c>
      <c r="O99" s="123">
        <f>O20+O30</f>
        <v>31406.6</v>
      </c>
      <c r="P99" s="123">
        <f t="shared" ref="P99:P100" si="186">O99/N99*100</f>
        <v>97.367597044863373</v>
      </c>
      <c r="Q99" s="123">
        <f>Q20+Q30</f>
        <v>18699.5</v>
      </c>
      <c r="R99" s="123">
        <f>R20+R30</f>
        <v>15914.9</v>
      </c>
      <c r="S99" s="123">
        <f t="shared" ref="S99" si="187">R99/Q99*100</f>
        <v>85.108692745795338</v>
      </c>
      <c r="T99" s="123">
        <f>T20+T30</f>
        <v>16483.599999999999</v>
      </c>
      <c r="U99" s="123">
        <f>U20+U30</f>
        <v>16135.199999999999</v>
      </c>
      <c r="V99" s="117">
        <f t="shared" si="180"/>
        <v>97.886384042320856</v>
      </c>
      <c r="W99" s="123">
        <f>W20+W30+26.1</f>
        <v>22359.1</v>
      </c>
      <c r="X99" s="123">
        <f>X20+X30+8.3</f>
        <v>18527</v>
      </c>
      <c r="Y99" s="117">
        <f t="shared" si="181"/>
        <v>82.861116950145586</v>
      </c>
      <c r="Z99" s="123">
        <f>Z20+Z30+2.1</f>
        <v>20791.399999999998</v>
      </c>
      <c r="AA99" s="123">
        <f>AA20+AA30+38</f>
        <v>20045.400000000001</v>
      </c>
      <c r="AB99" s="117">
        <f t="shared" si="175"/>
        <v>96.411978029377536</v>
      </c>
      <c r="AC99" s="123">
        <f>AC20+AC30+6.7</f>
        <v>14994.1</v>
      </c>
      <c r="AD99" s="123">
        <f>AD20+AD30+33.4</f>
        <v>15135</v>
      </c>
      <c r="AE99" s="117">
        <f t="shared" si="177"/>
        <v>100.93970294982692</v>
      </c>
      <c r="AF99" s="123">
        <f>AF20+AF30+72</f>
        <v>15857.8</v>
      </c>
      <c r="AG99" s="123">
        <f>AG20+AG30+25.8</f>
        <v>12747.699999999999</v>
      </c>
      <c r="AH99" s="123">
        <f t="shared" si="182"/>
        <v>80.387569524145846</v>
      </c>
      <c r="AI99" s="123">
        <f>AI20+AI30</f>
        <v>15826.699999999999</v>
      </c>
      <c r="AJ99" s="123">
        <f>AJ20+AJ30+0.1</f>
        <v>15840.1</v>
      </c>
      <c r="AK99" s="123">
        <f>AJ99/AI99*100</f>
        <v>100.08466704998516</v>
      </c>
      <c r="AL99" s="123">
        <f>AL20+AL30</f>
        <v>12244.2</v>
      </c>
      <c r="AM99" s="123">
        <f>AM20+AM30</f>
        <v>12244.2</v>
      </c>
      <c r="AN99" s="117">
        <f>AM99/AL99*100</f>
        <v>100</v>
      </c>
      <c r="AO99" s="123">
        <f>AO20+AO30</f>
        <v>13243.6</v>
      </c>
      <c r="AP99" s="123">
        <f>AP20+AP30-8.9</f>
        <v>23421.399999999998</v>
      </c>
      <c r="AQ99" s="123">
        <f>AP99/AO99*100</f>
        <v>176.85070524630763</v>
      </c>
      <c r="AR99" s="431"/>
      <c r="AS99" s="432"/>
      <c r="AT99" s="121"/>
      <c r="AU99" s="121"/>
      <c r="AV99" s="155"/>
    </row>
    <row r="100" spans="1:48" s="31" customFormat="1" ht="30.75" customHeight="1">
      <c r="A100" s="430"/>
      <c r="B100" s="430"/>
      <c r="C100" s="430"/>
      <c r="D100" s="143" t="s">
        <v>257</v>
      </c>
      <c r="E100" s="123">
        <f t="shared" si="183"/>
        <v>8511.7999999999993</v>
      </c>
      <c r="F100" s="123">
        <f t="shared" si="184"/>
        <v>8511.8000000000011</v>
      </c>
      <c r="G100" s="123">
        <f t="shared" si="168"/>
        <v>100.00000000000003</v>
      </c>
      <c r="H100" s="123">
        <f>H21</f>
        <v>56.2</v>
      </c>
      <c r="I100" s="123">
        <f>I21</f>
        <v>56.2</v>
      </c>
      <c r="J100" s="123">
        <f>I100/H100*100</f>
        <v>100</v>
      </c>
      <c r="K100" s="123">
        <f>K21</f>
        <v>332.4</v>
      </c>
      <c r="L100" s="123">
        <f>L21</f>
        <v>332.4</v>
      </c>
      <c r="M100" s="123">
        <f t="shared" si="185"/>
        <v>100</v>
      </c>
      <c r="N100" s="123">
        <f>N21</f>
        <v>1026.2</v>
      </c>
      <c r="O100" s="123">
        <f>O21</f>
        <v>900.5</v>
      </c>
      <c r="P100" s="123">
        <f t="shared" si="186"/>
        <v>87.750925745468706</v>
      </c>
      <c r="Q100" s="123">
        <f>Q21</f>
        <v>646.5</v>
      </c>
      <c r="R100" s="123">
        <f>R21</f>
        <v>646.5</v>
      </c>
      <c r="S100" s="123">
        <f>R100/Q100*100</f>
        <v>100</v>
      </c>
      <c r="T100" s="123">
        <f>T21</f>
        <v>651.30000000000007</v>
      </c>
      <c r="U100" s="123">
        <f>U21</f>
        <v>667.4</v>
      </c>
      <c r="V100" s="117">
        <f>U100/T100*100</f>
        <v>102.47197911868568</v>
      </c>
      <c r="W100" s="123">
        <f>W21</f>
        <v>365.5</v>
      </c>
      <c r="X100" s="123">
        <f>X21</f>
        <v>374.9</v>
      </c>
      <c r="Y100" s="117">
        <f>X100/W100*100</f>
        <v>102.5718194254446</v>
      </c>
      <c r="Z100" s="123">
        <f>Z21</f>
        <v>354.6</v>
      </c>
      <c r="AA100" s="123">
        <f>AA21</f>
        <v>354.6</v>
      </c>
      <c r="AB100" s="117">
        <f t="shared" si="175"/>
        <v>100</v>
      </c>
      <c r="AC100" s="123">
        <f>AC21</f>
        <v>640.9</v>
      </c>
      <c r="AD100" s="123">
        <f>AD21</f>
        <v>643.70000000000005</v>
      </c>
      <c r="AE100" s="117">
        <f t="shared" si="177"/>
        <v>100.43688562958341</v>
      </c>
      <c r="AF100" s="123">
        <f>AF21</f>
        <v>371.9</v>
      </c>
      <c r="AG100" s="123">
        <f>AG21</f>
        <v>369.6</v>
      </c>
      <c r="AH100" s="123">
        <f t="shared" si="182"/>
        <v>99.381554181231522</v>
      </c>
      <c r="AI100" s="123">
        <f>AI21</f>
        <v>403.6</v>
      </c>
      <c r="AJ100" s="123">
        <f>AJ21</f>
        <v>403.6</v>
      </c>
      <c r="AK100" s="123">
        <f>AJ100/AI100*100</f>
        <v>100</v>
      </c>
      <c r="AL100" s="123">
        <f>AL21</f>
        <v>341</v>
      </c>
      <c r="AM100" s="123">
        <f>AM21</f>
        <v>341</v>
      </c>
      <c r="AN100" s="117">
        <f>AM100/AL100*100</f>
        <v>100</v>
      </c>
      <c r="AO100" s="123">
        <f>AO21</f>
        <v>3321.7</v>
      </c>
      <c r="AP100" s="123">
        <f>AP21</f>
        <v>3421.4</v>
      </c>
      <c r="AQ100" s="123">
        <f>AP100/AO100*100</f>
        <v>103.00147514826745</v>
      </c>
      <c r="AR100" s="431"/>
      <c r="AS100" s="432"/>
      <c r="AT100" s="121"/>
      <c r="AU100" s="121"/>
      <c r="AV100" s="155"/>
    </row>
    <row r="101" spans="1:48" s="31" customFormat="1" ht="27.75" customHeight="1">
      <c r="A101" s="430"/>
      <c r="B101" s="430"/>
      <c r="C101" s="430"/>
      <c r="D101" s="143" t="s">
        <v>469</v>
      </c>
      <c r="E101" s="123">
        <f>H101+K101+N101+Q101+T101+W101+Z101+AC101+AF101+AI101+AL101+AO101</f>
        <v>0</v>
      </c>
      <c r="F101" s="123">
        <f>I101+L101+O101+R101+U101+X101+AA101+AD101+AG101+AJ101+AM101+AP101</f>
        <v>0</v>
      </c>
      <c r="G101" s="123">
        <v>0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23">
        <v>0</v>
      </c>
      <c r="U101" s="123">
        <v>0</v>
      </c>
      <c r="V101" s="123">
        <v>0</v>
      </c>
      <c r="W101" s="123">
        <v>0</v>
      </c>
      <c r="X101" s="123">
        <v>0</v>
      </c>
      <c r="Y101" s="117">
        <v>0</v>
      </c>
      <c r="Z101" s="123">
        <v>0</v>
      </c>
      <c r="AA101" s="123">
        <v>0</v>
      </c>
      <c r="AB101" s="117">
        <v>0</v>
      </c>
      <c r="AC101" s="123">
        <v>0</v>
      </c>
      <c r="AD101" s="123">
        <v>0</v>
      </c>
      <c r="AE101" s="117">
        <v>0</v>
      </c>
      <c r="AF101" s="123">
        <v>0</v>
      </c>
      <c r="AG101" s="123">
        <v>0</v>
      </c>
      <c r="AH101" s="123">
        <v>0</v>
      </c>
      <c r="AI101" s="123">
        <v>0</v>
      </c>
      <c r="AJ101" s="123">
        <v>0</v>
      </c>
      <c r="AK101" s="123">
        <v>0</v>
      </c>
      <c r="AL101" s="123">
        <v>0</v>
      </c>
      <c r="AM101" s="123">
        <v>0</v>
      </c>
      <c r="AN101" s="117">
        <v>0</v>
      </c>
      <c r="AO101" s="123">
        <v>0</v>
      </c>
      <c r="AP101" s="123">
        <v>0</v>
      </c>
      <c r="AQ101" s="123">
        <v>0</v>
      </c>
      <c r="AR101" s="431"/>
      <c r="AS101" s="432"/>
      <c r="AT101" s="121"/>
      <c r="AU101" s="121"/>
      <c r="AV101" s="155"/>
    </row>
    <row r="102" spans="1:48" s="31" customFormat="1" ht="12.75" customHeight="1">
      <c r="A102" s="430" t="s">
        <v>495</v>
      </c>
      <c r="B102" s="430"/>
      <c r="C102" s="430"/>
      <c r="D102" s="143" t="s">
        <v>444</v>
      </c>
      <c r="E102" s="123">
        <f>SUM(E103:E105)</f>
        <v>92178.3</v>
      </c>
      <c r="F102" s="123">
        <f t="shared" ref="F102" si="188">SUM(F103:F105)</f>
        <v>91266.4</v>
      </c>
      <c r="G102" s="123">
        <f t="shared" ref="G102:G104" si="189">F102/E102*100</f>
        <v>99.010721612353436</v>
      </c>
      <c r="H102" s="123">
        <f t="shared" ref="H102:I102" si="190">SUM(H103:H105)</f>
        <v>1881.5</v>
      </c>
      <c r="I102" s="123">
        <f t="shared" si="190"/>
        <v>1357</v>
      </c>
      <c r="J102" s="123">
        <f>I102/H102*100</f>
        <v>72.123305872973688</v>
      </c>
      <c r="K102" s="123">
        <f t="shared" ref="K102:L102" si="191">SUM(K103:K105)</f>
        <v>7366.7</v>
      </c>
      <c r="L102" s="123">
        <f t="shared" si="191"/>
        <v>7228.4999999999991</v>
      </c>
      <c r="M102" s="123">
        <f>L102/K102*100</f>
        <v>98.123990389183746</v>
      </c>
      <c r="N102" s="123">
        <f t="shared" ref="N102:O102" si="192">SUM(N103:N105)</f>
        <v>7386.6</v>
      </c>
      <c r="O102" s="123">
        <f t="shared" si="192"/>
        <v>6881.6</v>
      </c>
      <c r="P102" s="123">
        <f>O102/N102*100</f>
        <v>93.1632956976146</v>
      </c>
      <c r="Q102" s="123">
        <f t="shared" ref="Q102:R102" si="193">SUM(Q103:Q105)</f>
        <v>7966.2</v>
      </c>
      <c r="R102" s="123">
        <f t="shared" si="193"/>
        <v>7724.3</v>
      </c>
      <c r="S102" s="123">
        <f>R102/Q102*100</f>
        <v>96.963420451407202</v>
      </c>
      <c r="T102" s="123">
        <f t="shared" ref="T102:U102" si="194">SUM(T103:T105)</f>
        <v>8260.7000000000007</v>
      </c>
      <c r="U102" s="123">
        <f t="shared" si="194"/>
        <v>8062.5</v>
      </c>
      <c r="V102" s="123">
        <f>U102/T102*100</f>
        <v>97.60068759306111</v>
      </c>
      <c r="W102" s="123">
        <f t="shared" ref="W102:AA102" si="195">SUM(W103:W105)</f>
        <v>9456.3000000000011</v>
      </c>
      <c r="X102" s="123">
        <f t="shared" si="195"/>
        <v>8082.6</v>
      </c>
      <c r="Y102" s="123">
        <f t="shared" si="195"/>
        <v>110.39621163370784</v>
      </c>
      <c r="Z102" s="123">
        <f t="shared" si="195"/>
        <v>8214.9</v>
      </c>
      <c r="AA102" s="123">
        <f t="shared" si="195"/>
        <v>7888.2999999999993</v>
      </c>
      <c r="AB102" s="117">
        <f t="shared" ref="AB102:AB104" si="196">AA102/Z102*100</f>
        <v>96.024297313418288</v>
      </c>
      <c r="AC102" s="123">
        <f t="shared" ref="AC102:AD102" si="197">SUM(AC103:AC105)</f>
        <v>6504.2000000000007</v>
      </c>
      <c r="AD102" s="123">
        <f t="shared" si="197"/>
        <v>6259.1</v>
      </c>
      <c r="AE102" s="123">
        <f t="shared" ref="AE102:AE104" si="198">AD102/AC102*100</f>
        <v>96.231665692936858</v>
      </c>
      <c r="AF102" s="123">
        <f t="shared" ref="AF102:AG102" si="199">SUM(AF103:AF105)</f>
        <v>7410.0000000000009</v>
      </c>
      <c r="AG102" s="123">
        <f t="shared" si="199"/>
        <v>6834.2</v>
      </c>
      <c r="AH102" s="123">
        <f t="shared" ref="AH102:AH104" si="200">AG102/AF102*100</f>
        <v>92.2294197031039</v>
      </c>
      <c r="AI102" s="123">
        <f t="shared" ref="AI102:AQ102" si="201">SUM(AI103:AI105)</f>
        <v>8977.4000000000015</v>
      </c>
      <c r="AJ102" s="123">
        <f t="shared" si="201"/>
        <v>8944.7000000000007</v>
      </c>
      <c r="AK102" s="123">
        <f t="shared" si="201"/>
        <v>199.62880559402456</v>
      </c>
      <c r="AL102" s="123">
        <f t="shared" si="201"/>
        <v>7851.2</v>
      </c>
      <c r="AM102" s="123">
        <f t="shared" si="201"/>
        <v>8377.2999999999993</v>
      </c>
      <c r="AN102" s="123">
        <f t="shared" si="201"/>
        <v>267.66477296146979</v>
      </c>
      <c r="AO102" s="123">
        <f t="shared" si="201"/>
        <v>10902.599999999999</v>
      </c>
      <c r="AP102" s="123">
        <f t="shared" si="201"/>
        <v>13626.3</v>
      </c>
      <c r="AQ102" s="123">
        <f t="shared" si="201"/>
        <v>571.06459439299806</v>
      </c>
      <c r="AR102" s="431"/>
      <c r="AS102" s="432"/>
      <c r="AT102" s="121"/>
      <c r="AU102" s="121"/>
      <c r="AV102" s="155"/>
    </row>
    <row r="103" spans="1:48" s="31" customFormat="1" ht="48">
      <c r="A103" s="430"/>
      <c r="B103" s="430"/>
      <c r="C103" s="430"/>
      <c r="D103" s="225" t="s">
        <v>442</v>
      </c>
      <c r="E103" s="123">
        <f>H103+K103+N103+Q103+T103+W103+Z103+AC103+AF103+AI103+AL103+AO103</f>
        <v>2183.8000000000002</v>
      </c>
      <c r="F103" s="123">
        <f>I103+L103+O103+R103+U103+X103+AA103+AD103+AG103+AJ103+AM103+AP103</f>
        <v>2169.5</v>
      </c>
      <c r="G103" s="123">
        <f t="shared" si="189"/>
        <v>99.34517812986536</v>
      </c>
      <c r="H103" s="123">
        <v>0</v>
      </c>
      <c r="I103" s="123">
        <v>0</v>
      </c>
      <c r="J103" s="123">
        <v>0</v>
      </c>
      <c r="K103" s="123">
        <f>76.7+45</f>
        <v>121.7</v>
      </c>
      <c r="L103" s="123">
        <v>76.7</v>
      </c>
      <c r="M103" s="123">
        <f>L103/K103*100</f>
        <v>63.023829087921122</v>
      </c>
      <c r="N103" s="123">
        <f>156.8+115</f>
        <v>271.8</v>
      </c>
      <c r="O103" s="123">
        <f>143+61.6</f>
        <v>204.6</v>
      </c>
      <c r="P103" s="123">
        <f>O103/N103*100</f>
        <v>75.275938189845476</v>
      </c>
      <c r="Q103" s="123">
        <f>103.1+91.3</f>
        <v>194.39999999999998</v>
      </c>
      <c r="R103" s="123">
        <f>103.1+91.3</f>
        <v>194.39999999999998</v>
      </c>
      <c r="S103" s="123">
        <f>R103/Q103*100</f>
        <v>100</v>
      </c>
      <c r="T103" s="123">
        <f>71.4+10.7</f>
        <v>82.100000000000009</v>
      </c>
      <c r="U103" s="123">
        <f>71.4+10.7</f>
        <v>82.100000000000009</v>
      </c>
      <c r="V103" s="117">
        <f t="shared" ref="V103:V104" si="202">U103/T103*100</f>
        <v>100</v>
      </c>
      <c r="W103" s="123">
        <f>94.5+374.2</f>
        <v>468.7</v>
      </c>
      <c r="X103" s="123">
        <f>48+53.2</f>
        <v>101.2</v>
      </c>
      <c r="Y103" s="117">
        <f t="shared" ref="Y103:Y104" si="203">X103/W103*100</f>
        <v>21.591636441220398</v>
      </c>
      <c r="Z103" s="123">
        <f>81.1+150.3</f>
        <v>231.4</v>
      </c>
      <c r="AA103" s="123">
        <f>81.1+150.3</f>
        <v>231.4</v>
      </c>
      <c r="AB103" s="117">
        <f t="shared" si="196"/>
        <v>100</v>
      </c>
      <c r="AC103" s="123">
        <f>48.6+127</f>
        <v>175.6</v>
      </c>
      <c r="AD103" s="123">
        <f>48.6+127</f>
        <v>175.6</v>
      </c>
      <c r="AE103" s="117">
        <f t="shared" si="198"/>
        <v>100</v>
      </c>
      <c r="AF103" s="123">
        <f>28.2+121.2</f>
        <v>149.4</v>
      </c>
      <c r="AG103" s="123">
        <f>47.1+78.2</f>
        <v>125.30000000000001</v>
      </c>
      <c r="AH103" s="123">
        <f t="shared" si="200"/>
        <v>83.86880856760375</v>
      </c>
      <c r="AI103" s="123">
        <f>64.7+103.3</f>
        <v>168</v>
      </c>
      <c r="AJ103" s="123">
        <f>64.7+103.3</f>
        <v>168</v>
      </c>
      <c r="AK103" s="249">
        <f>AJ103/AI103*100</f>
        <v>100</v>
      </c>
      <c r="AL103" s="123">
        <f>96.1+123.8</f>
        <v>219.89999999999998</v>
      </c>
      <c r="AM103" s="123">
        <f>96.1+261.4</f>
        <v>357.5</v>
      </c>
      <c r="AN103" s="249">
        <f>AM103/AL103*100</f>
        <v>162.57389722601184</v>
      </c>
      <c r="AO103" s="123">
        <v>100.8</v>
      </c>
      <c r="AP103" s="123">
        <f>142.2+310.5</f>
        <v>452.7</v>
      </c>
      <c r="AQ103" s="123">
        <f>AP103/AO103*100</f>
        <v>449.10714285714289</v>
      </c>
      <c r="AR103" s="431"/>
      <c r="AS103" s="432"/>
      <c r="AT103" s="121"/>
      <c r="AU103" s="121"/>
      <c r="AV103" s="155"/>
    </row>
    <row r="104" spans="1:48" s="31" customFormat="1" ht="23.25" customHeight="1">
      <c r="A104" s="430"/>
      <c r="B104" s="430"/>
      <c r="C104" s="430"/>
      <c r="D104" s="225" t="s">
        <v>463</v>
      </c>
      <c r="E104" s="123">
        <f t="shared" ref="E104:E105" si="204">H104+K104+N104+Q104+T104+W104+Z104+AC104+AF104+AI104+AL104+AO104</f>
        <v>89994.5</v>
      </c>
      <c r="F104" s="123">
        <f t="shared" ref="F104:F105" si="205">I104+L104+O104+R104+U104+X104+AA104+AD104+AG104+AJ104+AM104+AP104</f>
        <v>89096.9</v>
      </c>
      <c r="G104" s="123">
        <f t="shared" si="189"/>
        <v>99.002605714793674</v>
      </c>
      <c r="H104" s="123">
        <f>H25+12.1</f>
        <v>1881.5</v>
      </c>
      <c r="I104" s="123">
        <f>I25+12.1</f>
        <v>1357</v>
      </c>
      <c r="J104" s="123">
        <f>I104/H104*100</f>
        <v>72.123305872973688</v>
      </c>
      <c r="K104" s="123">
        <f>K25+135.4</f>
        <v>7245</v>
      </c>
      <c r="L104" s="123">
        <f>L25+135.4</f>
        <v>7151.7999999999993</v>
      </c>
      <c r="M104" s="123">
        <f t="shared" ref="M104" si="206">L104/K104*100</f>
        <v>98.713595583160796</v>
      </c>
      <c r="N104" s="123">
        <f>N25+578.3</f>
        <v>7114.8</v>
      </c>
      <c r="O104" s="123">
        <f>O25+220.7</f>
        <v>6677</v>
      </c>
      <c r="P104" s="123">
        <f t="shared" ref="P104" si="207">O104/N104*100</f>
        <v>93.846629560915275</v>
      </c>
      <c r="Q104" s="123">
        <f>Q25+139.8</f>
        <v>7771.8</v>
      </c>
      <c r="R104" s="123">
        <f>R25+139.8</f>
        <v>7529.9000000000005</v>
      </c>
      <c r="S104" s="123">
        <f t="shared" ref="S104" si="208">R104/Q104*100</f>
        <v>96.887464937337555</v>
      </c>
      <c r="T104" s="123">
        <f>T25+163.5</f>
        <v>8178.6</v>
      </c>
      <c r="U104" s="123">
        <f>U25+163.5</f>
        <v>7980.4</v>
      </c>
      <c r="V104" s="117">
        <f t="shared" si="202"/>
        <v>97.576602352480862</v>
      </c>
      <c r="W104" s="123">
        <f>W25+850.5</f>
        <v>8987.6</v>
      </c>
      <c r="X104" s="123">
        <f>X25+201.8</f>
        <v>7981.4000000000005</v>
      </c>
      <c r="Y104" s="117">
        <f t="shared" si="203"/>
        <v>88.804575192487434</v>
      </c>
      <c r="Z104" s="123">
        <f>Z25+388</f>
        <v>7983.5</v>
      </c>
      <c r="AA104" s="123">
        <f>AA25+388</f>
        <v>7656.9</v>
      </c>
      <c r="AB104" s="117">
        <f t="shared" si="196"/>
        <v>95.909062441285144</v>
      </c>
      <c r="AC104" s="123">
        <f>AC25+446.1</f>
        <v>6328.6</v>
      </c>
      <c r="AD104" s="123">
        <f>AD25+446.1</f>
        <v>6083.5</v>
      </c>
      <c r="AE104" s="117">
        <f t="shared" si="198"/>
        <v>96.127105520968286</v>
      </c>
      <c r="AF104" s="123">
        <f>AF25+298</f>
        <v>7260.6000000000013</v>
      </c>
      <c r="AG104" s="123">
        <f>AG25+485.7</f>
        <v>6708.9</v>
      </c>
      <c r="AH104" s="123">
        <f t="shared" si="200"/>
        <v>92.401454425254087</v>
      </c>
      <c r="AI104" s="123">
        <f>AI25+546.2</f>
        <v>8809.4000000000015</v>
      </c>
      <c r="AJ104" s="123">
        <f>AJ25+513.5</f>
        <v>8776.7000000000007</v>
      </c>
      <c r="AK104" s="123">
        <f>AJ104/AI104*100</f>
        <v>99.628805594024556</v>
      </c>
      <c r="AL104" s="123">
        <f>AL25</f>
        <v>7631.3</v>
      </c>
      <c r="AM104" s="123">
        <f>AM25+388.5</f>
        <v>8019.8</v>
      </c>
      <c r="AN104" s="117">
        <f>AM104/AL104*100</f>
        <v>105.09087573545793</v>
      </c>
      <c r="AO104" s="123">
        <f>AO25</f>
        <v>10801.8</v>
      </c>
      <c r="AP104" s="123">
        <f>AP25+460.8</f>
        <v>13173.599999999999</v>
      </c>
      <c r="AQ104" s="123">
        <f>AP104/AO104*100</f>
        <v>121.95745153585513</v>
      </c>
      <c r="AR104" s="431"/>
      <c r="AS104" s="432"/>
      <c r="AT104" s="121"/>
      <c r="AU104" s="121"/>
      <c r="AV104" s="155"/>
    </row>
    <row r="105" spans="1:48" s="31" customFormat="1" ht="30.75" customHeight="1">
      <c r="A105" s="430"/>
      <c r="B105" s="430"/>
      <c r="C105" s="430"/>
      <c r="D105" s="143" t="s">
        <v>257</v>
      </c>
      <c r="E105" s="123">
        <f t="shared" si="204"/>
        <v>0</v>
      </c>
      <c r="F105" s="123">
        <f t="shared" si="205"/>
        <v>0</v>
      </c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23">
        <v>0</v>
      </c>
      <c r="U105" s="123">
        <v>0</v>
      </c>
      <c r="V105" s="117">
        <v>0</v>
      </c>
      <c r="W105" s="123">
        <v>0</v>
      </c>
      <c r="X105" s="123">
        <v>0</v>
      </c>
      <c r="Y105" s="117">
        <v>0</v>
      </c>
      <c r="Z105" s="123">
        <v>0</v>
      </c>
      <c r="AA105" s="123">
        <v>0</v>
      </c>
      <c r="AB105" s="117">
        <v>0</v>
      </c>
      <c r="AC105" s="123">
        <v>0</v>
      </c>
      <c r="AD105" s="123">
        <v>0</v>
      </c>
      <c r="AE105" s="117">
        <v>0</v>
      </c>
      <c r="AF105" s="123">
        <v>0</v>
      </c>
      <c r="AG105" s="123">
        <v>0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17">
        <v>0</v>
      </c>
      <c r="AO105" s="123">
        <v>0</v>
      </c>
      <c r="AP105" s="123">
        <v>0</v>
      </c>
      <c r="AQ105" s="123">
        <v>0</v>
      </c>
      <c r="AR105" s="431"/>
      <c r="AS105" s="432"/>
      <c r="AT105" s="121"/>
      <c r="AU105" s="121"/>
      <c r="AV105" s="155"/>
    </row>
    <row r="106" spans="1:48" s="31" customFormat="1" ht="27.75" customHeight="1">
      <c r="A106" s="430"/>
      <c r="B106" s="430"/>
      <c r="C106" s="430"/>
      <c r="D106" s="143" t="s">
        <v>469</v>
      </c>
      <c r="E106" s="123">
        <f>H106+K106+N106+Q106+T106+W106+Z106+AC106+AF106+AI106+AL106+AO106</f>
        <v>0</v>
      </c>
      <c r="F106" s="123">
        <f>I106+L106+O106+R106+U106+X106+AA106+AD106+AG106+AJ106+AM106+AP106</f>
        <v>0</v>
      </c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3">
        <v>0</v>
      </c>
      <c r="O106" s="123">
        <v>0</v>
      </c>
      <c r="P106" s="123">
        <v>0</v>
      </c>
      <c r="Q106" s="123"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17">
        <v>0</v>
      </c>
      <c r="Z106" s="123">
        <v>0</v>
      </c>
      <c r="AA106" s="123">
        <v>0</v>
      </c>
      <c r="AB106" s="117">
        <v>0</v>
      </c>
      <c r="AC106" s="123">
        <v>0</v>
      </c>
      <c r="AD106" s="123">
        <v>0</v>
      </c>
      <c r="AE106" s="117">
        <v>0</v>
      </c>
      <c r="AF106" s="123">
        <v>0</v>
      </c>
      <c r="AG106" s="123">
        <v>0</v>
      </c>
      <c r="AH106" s="123">
        <v>0</v>
      </c>
      <c r="AI106" s="123">
        <v>0</v>
      </c>
      <c r="AJ106" s="123">
        <v>0</v>
      </c>
      <c r="AK106" s="123">
        <v>0</v>
      </c>
      <c r="AL106" s="123">
        <v>0</v>
      </c>
      <c r="AM106" s="123">
        <v>0</v>
      </c>
      <c r="AN106" s="117">
        <v>0</v>
      </c>
      <c r="AO106" s="123">
        <v>0</v>
      </c>
      <c r="AP106" s="123">
        <v>0</v>
      </c>
      <c r="AQ106" s="123">
        <v>0</v>
      </c>
      <c r="AR106" s="431"/>
      <c r="AS106" s="432"/>
      <c r="AT106" s="121"/>
      <c r="AU106" s="121"/>
      <c r="AV106" s="155"/>
    </row>
    <row r="107" spans="1:48" s="31" customFormat="1" ht="12.75" customHeight="1">
      <c r="A107" s="430" t="s">
        <v>496</v>
      </c>
      <c r="B107" s="430"/>
      <c r="C107" s="430"/>
      <c r="D107" s="143" t="s">
        <v>444</v>
      </c>
      <c r="E107" s="123">
        <f>SUM(E108:E110)</f>
        <v>1672.6</v>
      </c>
      <c r="F107" s="123">
        <f t="shared" ref="F107" si="209">SUM(F108:F110)</f>
        <v>1440.8999999999999</v>
      </c>
      <c r="G107" s="123">
        <f t="shared" ref="G107:G109" si="210">F107/E107*100</f>
        <v>86.147315556618437</v>
      </c>
      <c r="H107" s="123">
        <f t="shared" ref="H107:I107" si="211">SUM(H108:H110)</f>
        <v>0</v>
      </c>
      <c r="I107" s="123">
        <f t="shared" si="211"/>
        <v>0</v>
      </c>
      <c r="J107" s="123">
        <v>0</v>
      </c>
      <c r="K107" s="123">
        <f t="shared" ref="K107:L107" si="212">SUM(K108:K110)</f>
        <v>57</v>
      </c>
      <c r="L107" s="123">
        <f t="shared" si="212"/>
        <v>57</v>
      </c>
      <c r="M107" s="123">
        <f>L107/K107*100</f>
        <v>100</v>
      </c>
      <c r="N107" s="123">
        <f t="shared" ref="N107:O107" si="213">SUM(N108:N110)</f>
        <v>163</v>
      </c>
      <c r="O107" s="123">
        <f t="shared" si="213"/>
        <v>161.69999999999999</v>
      </c>
      <c r="P107" s="123">
        <f>O107/N107*100</f>
        <v>99.202453987730053</v>
      </c>
      <c r="Q107" s="123">
        <f t="shared" ref="Q107:R107" si="214">SUM(Q108:Q110)</f>
        <v>136.99999999999994</v>
      </c>
      <c r="R107" s="123">
        <f t="shared" si="214"/>
        <v>56.999999999999957</v>
      </c>
      <c r="S107" s="123">
        <f>R107/Q107*100</f>
        <v>41.60583941605838</v>
      </c>
      <c r="T107" s="123">
        <f t="shared" ref="T107:U107" si="215">SUM(T108:T110)</f>
        <v>69.400000000000006</v>
      </c>
      <c r="U107" s="123">
        <f t="shared" si="215"/>
        <v>62.400000000000013</v>
      </c>
      <c r="V107" s="123">
        <f>U107/T107*100</f>
        <v>89.913544668587903</v>
      </c>
      <c r="W107" s="123">
        <f t="shared" ref="W107:AA107" si="216">SUM(W108:W110)</f>
        <v>13.999999999999886</v>
      </c>
      <c r="X107" s="123">
        <f t="shared" si="216"/>
        <v>70.700000000000017</v>
      </c>
      <c r="Y107" s="123">
        <f t="shared" si="216"/>
        <v>505.00000000000426</v>
      </c>
      <c r="Z107" s="123">
        <f t="shared" si="216"/>
        <v>97.6</v>
      </c>
      <c r="AA107" s="123">
        <f t="shared" si="216"/>
        <v>95.899999999999949</v>
      </c>
      <c r="AB107" s="117">
        <f t="shared" ref="AB107:AB109" si="217">AA107/Z107*100</f>
        <v>98.258196721311435</v>
      </c>
      <c r="AC107" s="123">
        <f t="shared" ref="AC107:AD107" si="218">SUM(AC108:AC110)</f>
        <v>104.49999999999997</v>
      </c>
      <c r="AD107" s="123">
        <f t="shared" si="218"/>
        <v>40.800000000000004</v>
      </c>
      <c r="AE107" s="123">
        <f t="shared" ref="AE107:AE109" si="219">AD107/AC107*100</f>
        <v>39.043062200956953</v>
      </c>
      <c r="AF107" s="123">
        <f t="shared" ref="AF107:AG107" si="220">SUM(AF108:AF110)</f>
        <v>167.2000000000001</v>
      </c>
      <c r="AG107" s="123">
        <f t="shared" si="220"/>
        <v>154.90000000000003</v>
      </c>
      <c r="AH107" s="123">
        <f t="shared" ref="AH107:AH109" si="221">AG107/AF107*100</f>
        <v>92.643540669856435</v>
      </c>
      <c r="AI107" s="123">
        <f t="shared" ref="AI107:AQ107" si="222">SUM(AI108:AI110)</f>
        <v>143.20000000000002</v>
      </c>
      <c r="AJ107" s="123">
        <f t="shared" si="222"/>
        <v>143.20000000000002</v>
      </c>
      <c r="AK107" s="123">
        <f t="shared" si="222"/>
        <v>100</v>
      </c>
      <c r="AL107" s="123">
        <f t="shared" si="222"/>
        <v>145.80000000000004</v>
      </c>
      <c r="AM107" s="123">
        <f t="shared" si="222"/>
        <v>145.6</v>
      </c>
      <c r="AN107" s="123">
        <f t="shared" si="222"/>
        <v>99.862825788751692</v>
      </c>
      <c r="AO107" s="123">
        <f t="shared" si="222"/>
        <v>573.9</v>
      </c>
      <c r="AP107" s="123">
        <f t="shared" si="222"/>
        <v>451.69999999999993</v>
      </c>
      <c r="AQ107" s="123">
        <f t="shared" si="222"/>
        <v>78.707091827844565</v>
      </c>
      <c r="AR107" s="431"/>
      <c r="AS107" s="432"/>
      <c r="AT107" s="121"/>
      <c r="AU107" s="121"/>
      <c r="AV107" s="155"/>
    </row>
    <row r="108" spans="1:48" s="31" customFormat="1" ht="48">
      <c r="A108" s="430"/>
      <c r="B108" s="430"/>
      <c r="C108" s="430"/>
      <c r="D108" s="225" t="s">
        <v>442</v>
      </c>
      <c r="E108" s="123">
        <f>H108+K108+N108+Q108+T108+W108+Z108+AC108+AF108+AI108+AL108+AO108</f>
        <v>0</v>
      </c>
      <c r="F108" s="123">
        <f>I108+L108+O108+R108+U108+X108+AA108+AD108+AG108+AJ108+AM108+AP108</f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17">
        <v>0</v>
      </c>
      <c r="W108" s="123">
        <v>0</v>
      </c>
      <c r="X108" s="123">
        <v>0</v>
      </c>
      <c r="Y108" s="117">
        <v>0</v>
      </c>
      <c r="Z108" s="123">
        <v>0</v>
      </c>
      <c r="AA108" s="123">
        <v>0</v>
      </c>
      <c r="AB108" s="117">
        <v>0</v>
      </c>
      <c r="AC108" s="123">
        <v>0</v>
      </c>
      <c r="AD108" s="123">
        <v>0</v>
      </c>
      <c r="AE108" s="117">
        <v>0</v>
      </c>
      <c r="AF108" s="123">
        <v>0</v>
      </c>
      <c r="AG108" s="123">
        <v>0</v>
      </c>
      <c r="AH108" s="123">
        <v>0</v>
      </c>
      <c r="AI108" s="123">
        <v>0</v>
      </c>
      <c r="AJ108" s="123">
        <v>0</v>
      </c>
      <c r="AK108" s="249">
        <v>0</v>
      </c>
      <c r="AL108" s="123">
        <v>0</v>
      </c>
      <c r="AM108" s="123">
        <v>0</v>
      </c>
      <c r="AN108" s="249">
        <v>0</v>
      </c>
      <c r="AO108" s="123">
        <v>0</v>
      </c>
      <c r="AP108" s="123">
        <v>0</v>
      </c>
      <c r="AQ108" s="123">
        <v>0</v>
      </c>
      <c r="AR108" s="431"/>
      <c r="AS108" s="432"/>
      <c r="AT108" s="121"/>
      <c r="AU108" s="121"/>
      <c r="AV108" s="155"/>
    </row>
    <row r="109" spans="1:48" s="31" customFormat="1" ht="23.25" customHeight="1">
      <c r="A109" s="430"/>
      <c r="B109" s="430"/>
      <c r="C109" s="430"/>
      <c r="D109" s="225" t="s">
        <v>463</v>
      </c>
      <c r="E109" s="123">
        <f t="shared" ref="E109:E110" si="223">H109+K109+N109+Q109+T109+W109+Z109+AC109+AF109+AI109+AL109+AO109</f>
        <v>1672.6</v>
      </c>
      <c r="F109" s="123">
        <f t="shared" ref="F109:F110" si="224">I109+L109+O109+R109+U109+X109+AA109+AD109+AG109+AJ109+AM109+AP109</f>
        <v>1440.8999999999999</v>
      </c>
      <c r="G109" s="123">
        <f t="shared" si="210"/>
        <v>86.147315556618437</v>
      </c>
      <c r="H109" s="123">
        <f>H40-H129-H154</f>
        <v>0</v>
      </c>
      <c r="I109" s="123">
        <f>I40-I129-I154</f>
        <v>0</v>
      </c>
      <c r="J109" s="123">
        <v>0</v>
      </c>
      <c r="K109" s="123">
        <f>K40-K129-K154</f>
        <v>57</v>
      </c>
      <c r="L109" s="123">
        <f>L40-L129-L154</f>
        <v>57</v>
      </c>
      <c r="M109" s="123">
        <f t="shared" ref="M109" si="225">L109/K109*100</f>
        <v>100</v>
      </c>
      <c r="N109" s="123">
        <f>N40-N129-N154</f>
        <v>163</v>
      </c>
      <c r="O109" s="123">
        <f>O40-O129-O154</f>
        <v>161.69999999999999</v>
      </c>
      <c r="P109" s="123">
        <f t="shared" ref="P109" si="226">O109/N109*100</f>
        <v>99.202453987730053</v>
      </c>
      <c r="Q109" s="123">
        <f>Q40-Q129-Q154</f>
        <v>136.99999999999994</v>
      </c>
      <c r="R109" s="123">
        <f>R40-R129-R154</f>
        <v>56.999999999999957</v>
      </c>
      <c r="S109" s="123">
        <f t="shared" ref="S109" si="227">R109/Q109*100</f>
        <v>41.60583941605838</v>
      </c>
      <c r="T109" s="123">
        <f>T40-T129-T154</f>
        <v>69.400000000000006</v>
      </c>
      <c r="U109" s="123">
        <f>U40-U129-U154</f>
        <v>62.400000000000013</v>
      </c>
      <c r="V109" s="117">
        <f t="shared" ref="V109" si="228">U109/T109*100</f>
        <v>89.913544668587903</v>
      </c>
      <c r="W109" s="123">
        <f>W40-W129-W154</f>
        <v>13.999999999999886</v>
      </c>
      <c r="X109" s="123">
        <f>X40-X129-X154</f>
        <v>70.700000000000017</v>
      </c>
      <c r="Y109" s="117">
        <f t="shared" ref="Y109" si="229">X109/W109*100</f>
        <v>505.00000000000426</v>
      </c>
      <c r="Z109" s="123">
        <f>Z40-Z129-Z154</f>
        <v>97.6</v>
      </c>
      <c r="AA109" s="123">
        <f>AA40-AA129-AA154</f>
        <v>95.899999999999949</v>
      </c>
      <c r="AB109" s="117">
        <f t="shared" si="217"/>
        <v>98.258196721311435</v>
      </c>
      <c r="AC109" s="123">
        <f>AC40-AC129-AC154</f>
        <v>104.49999999999997</v>
      </c>
      <c r="AD109" s="123">
        <f>AD40-AD129-AD154</f>
        <v>40.800000000000004</v>
      </c>
      <c r="AE109" s="117">
        <f t="shared" si="219"/>
        <v>39.043062200956953</v>
      </c>
      <c r="AF109" s="123">
        <f>AF40-AF129-AF154</f>
        <v>167.2000000000001</v>
      </c>
      <c r="AG109" s="123">
        <f>AG40-AG129-AG154</f>
        <v>154.90000000000003</v>
      </c>
      <c r="AH109" s="123">
        <f t="shared" si="221"/>
        <v>92.643540669856435</v>
      </c>
      <c r="AI109" s="123">
        <f>AI40-AI129-AI154</f>
        <v>143.20000000000002</v>
      </c>
      <c r="AJ109" s="123">
        <f>AJ40-AJ129-AJ154</f>
        <v>143.20000000000002</v>
      </c>
      <c r="AK109" s="123">
        <f>AJ109/AI109*100</f>
        <v>100</v>
      </c>
      <c r="AL109" s="123">
        <f>AL40-AL129-AL154</f>
        <v>145.80000000000004</v>
      </c>
      <c r="AM109" s="123">
        <f>AM40-AM129-AM154</f>
        <v>145.6</v>
      </c>
      <c r="AN109" s="117">
        <f>AM109/AL109*100</f>
        <v>99.862825788751692</v>
      </c>
      <c r="AO109" s="123">
        <f>AO40-AO129-AO154</f>
        <v>573.9</v>
      </c>
      <c r="AP109" s="123">
        <f>AP40-AP129-AP154</f>
        <v>451.69999999999993</v>
      </c>
      <c r="AQ109" s="123">
        <f>AP109/AO109*100</f>
        <v>78.707091827844565</v>
      </c>
      <c r="AR109" s="431"/>
      <c r="AS109" s="432"/>
      <c r="AT109" s="121"/>
      <c r="AU109" s="121"/>
      <c r="AV109" s="155"/>
    </row>
    <row r="110" spans="1:48" s="31" customFormat="1" ht="30.75" customHeight="1">
      <c r="A110" s="430"/>
      <c r="B110" s="430"/>
      <c r="C110" s="430"/>
      <c r="D110" s="143" t="s">
        <v>257</v>
      </c>
      <c r="E110" s="123">
        <f t="shared" si="223"/>
        <v>0</v>
      </c>
      <c r="F110" s="123">
        <f t="shared" si="224"/>
        <v>0</v>
      </c>
      <c r="G110" s="123">
        <v>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</v>
      </c>
      <c r="V110" s="117">
        <v>0</v>
      </c>
      <c r="W110" s="123">
        <v>0</v>
      </c>
      <c r="X110" s="123">
        <v>0</v>
      </c>
      <c r="Y110" s="117">
        <v>0</v>
      </c>
      <c r="Z110" s="123">
        <v>0</v>
      </c>
      <c r="AA110" s="123">
        <v>0</v>
      </c>
      <c r="AB110" s="117">
        <v>0</v>
      </c>
      <c r="AC110" s="123">
        <v>0</v>
      </c>
      <c r="AD110" s="123">
        <v>0</v>
      </c>
      <c r="AE110" s="117">
        <v>0</v>
      </c>
      <c r="AF110" s="123">
        <v>0</v>
      </c>
      <c r="AG110" s="123">
        <v>0</v>
      </c>
      <c r="AH110" s="123">
        <v>0</v>
      </c>
      <c r="AI110" s="123">
        <v>0</v>
      </c>
      <c r="AJ110" s="123">
        <v>0</v>
      </c>
      <c r="AK110" s="123">
        <v>0</v>
      </c>
      <c r="AL110" s="123">
        <v>0</v>
      </c>
      <c r="AM110" s="123">
        <v>0</v>
      </c>
      <c r="AN110" s="117">
        <v>0</v>
      </c>
      <c r="AO110" s="123">
        <v>0</v>
      </c>
      <c r="AP110" s="123">
        <v>0</v>
      </c>
      <c r="AQ110" s="123">
        <v>0</v>
      </c>
      <c r="AR110" s="431"/>
      <c r="AS110" s="432"/>
      <c r="AT110" s="121"/>
      <c r="AU110" s="121"/>
      <c r="AV110" s="155"/>
    </row>
    <row r="111" spans="1:48" s="31" customFormat="1" ht="27.75" customHeight="1">
      <c r="A111" s="430"/>
      <c r="B111" s="430"/>
      <c r="C111" s="430"/>
      <c r="D111" s="143" t="s">
        <v>469</v>
      </c>
      <c r="E111" s="123">
        <f>H111+K111+N111+Q111+T111+W111+Z111+AC111+AF111+AI111+AL111+AO111</f>
        <v>0</v>
      </c>
      <c r="F111" s="123">
        <f>I111+L111+O111+R111+U111+X111+AA111+AD111+AG111+AJ111+AM111+AP111</f>
        <v>0</v>
      </c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17">
        <v>0</v>
      </c>
      <c r="Z111" s="123">
        <v>0</v>
      </c>
      <c r="AA111" s="123">
        <v>0</v>
      </c>
      <c r="AB111" s="117">
        <v>0</v>
      </c>
      <c r="AC111" s="123">
        <v>0</v>
      </c>
      <c r="AD111" s="123">
        <v>0</v>
      </c>
      <c r="AE111" s="117">
        <v>0</v>
      </c>
      <c r="AF111" s="123">
        <v>0</v>
      </c>
      <c r="AG111" s="123">
        <v>0</v>
      </c>
      <c r="AH111" s="123">
        <v>0</v>
      </c>
      <c r="AI111" s="123">
        <v>0</v>
      </c>
      <c r="AJ111" s="123">
        <v>0</v>
      </c>
      <c r="AK111" s="123">
        <v>0</v>
      </c>
      <c r="AL111" s="123">
        <v>0</v>
      </c>
      <c r="AM111" s="123">
        <v>0</v>
      </c>
      <c r="AN111" s="117">
        <v>0</v>
      </c>
      <c r="AO111" s="123">
        <v>0</v>
      </c>
      <c r="AP111" s="123">
        <v>0</v>
      </c>
      <c r="AQ111" s="123">
        <v>0</v>
      </c>
      <c r="AR111" s="431"/>
      <c r="AS111" s="432"/>
      <c r="AT111" s="121"/>
      <c r="AU111" s="121"/>
      <c r="AV111" s="155"/>
    </row>
    <row r="112" spans="1:48" s="31" customFormat="1" ht="12.75" customHeight="1">
      <c r="A112" s="430" t="s">
        <v>497</v>
      </c>
      <c r="B112" s="430"/>
      <c r="C112" s="430"/>
      <c r="D112" s="143" t="s">
        <v>444</v>
      </c>
      <c r="E112" s="123">
        <f>SUM(E113:E115)</f>
        <v>619.20000000000005</v>
      </c>
      <c r="F112" s="123">
        <f t="shared" ref="F112" si="230">SUM(F113:F115)</f>
        <v>619.1</v>
      </c>
      <c r="G112" s="123">
        <f>F112/E112*100</f>
        <v>99.983850129198956</v>
      </c>
      <c r="H112" s="132">
        <f t="shared" ref="H112:I112" si="231">H113+H114+H115</f>
        <v>0</v>
      </c>
      <c r="I112" s="132">
        <f t="shared" si="231"/>
        <v>0</v>
      </c>
      <c r="J112" s="123">
        <v>0</v>
      </c>
      <c r="K112" s="132">
        <f t="shared" ref="K112:L112" si="232">K113+K114+K115</f>
        <v>67.5</v>
      </c>
      <c r="L112" s="132">
        <f t="shared" si="232"/>
        <v>67.5</v>
      </c>
      <c r="M112" s="132">
        <f>L112/K112*100</f>
        <v>100</v>
      </c>
      <c r="N112" s="132">
        <f t="shared" ref="N112:O112" si="233">N113+N114+N115</f>
        <v>4.0999999999999996</v>
      </c>
      <c r="O112" s="132">
        <f t="shared" si="233"/>
        <v>4.0999999999999996</v>
      </c>
      <c r="P112" s="123">
        <f>O112/N112*100</f>
        <v>100</v>
      </c>
      <c r="Q112" s="132">
        <f t="shared" ref="Q112:R112" si="234">Q113+Q114+Q115</f>
        <v>59.6</v>
      </c>
      <c r="R112" s="132">
        <f t="shared" si="234"/>
        <v>59.6</v>
      </c>
      <c r="S112" s="123">
        <f>R112/Q112*100</f>
        <v>100</v>
      </c>
      <c r="T112" s="132">
        <f t="shared" ref="T112:U112" si="235">T113+T114+T115</f>
        <v>95</v>
      </c>
      <c r="U112" s="132">
        <f t="shared" si="235"/>
        <v>95</v>
      </c>
      <c r="V112" s="123">
        <f>U112/T112*100</f>
        <v>100</v>
      </c>
      <c r="W112" s="132">
        <f t="shared" ref="W112:AD112" si="236">W113+W114+W115</f>
        <v>115.00000000000001</v>
      </c>
      <c r="X112" s="132">
        <f t="shared" si="236"/>
        <v>47.3</v>
      </c>
      <c r="Y112" s="132">
        <f t="shared" si="236"/>
        <v>41.130434782608688</v>
      </c>
      <c r="Z112" s="132">
        <f t="shared" si="236"/>
        <v>16.100000000000001</v>
      </c>
      <c r="AA112" s="132">
        <f t="shared" si="236"/>
        <v>16.100000000000001</v>
      </c>
      <c r="AB112" s="132">
        <f t="shared" si="236"/>
        <v>100</v>
      </c>
      <c r="AC112" s="132">
        <f t="shared" si="236"/>
        <v>36</v>
      </c>
      <c r="AD112" s="132">
        <f t="shared" si="236"/>
        <v>36</v>
      </c>
      <c r="AE112" s="123">
        <f>AD112/AC112*100</f>
        <v>100</v>
      </c>
      <c r="AF112" s="132">
        <f t="shared" ref="AF112:AG112" si="237">AF113+AF114+AF115</f>
        <v>83.3</v>
      </c>
      <c r="AG112" s="132">
        <f t="shared" si="237"/>
        <v>33.4</v>
      </c>
      <c r="AH112" s="117">
        <f>AG112/AF112*100</f>
        <v>40.096038415366145</v>
      </c>
      <c r="AI112" s="132">
        <f t="shared" ref="AI112:AQ112" si="238">AI113+AI114+AI115</f>
        <v>142.6</v>
      </c>
      <c r="AJ112" s="132">
        <f t="shared" si="238"/>
        <v>241.4</v>
      </c>
      <c r="AK112" s="132">
        <f t="shared" si="238"/>
        <v>169.28471248246845</v>
      </c>
      <c r="AL112" s="132">
        <f t="shared" si="238"/>
        <v>0</v>
      </c>
      <c r="AM112" s="132">
        <f t="shared" si="238"/>
        <v>10.7</v>
      </c>
      <c r="AN112" s="132">
        <f t="shared" si="238"/>
        <v>100</v>
      </c>
      <c r="AO112" s="132">
        <f t="shared" si="238"/>
        <v>0</v>
      </c>
      <c r="AP112" s="132">
        <f t="shared" si="238"/>
        <v>8</v>
      </c>
      <c r="AQ112" s="132">
        <f t="shared" si="238"/>
        <v>100</v>
      </c>
      <c r="AR112" s="431"/>
      <c r="AS112" s="432"/>
      <c r="AT112" s="121"/>
      <c r="AU112" s="121"/>
      <c r="AV112" s="155"/>
    </row>
    <row r="113" spans="1:48" s="31" customFormat="1" ht="48">
      <c r="A113" s="430"/>
      <c r="B113" s="430"/>
      <c r="C113" s="430"/>
      <c r="D113" s="225" t="s">
        <v>442</v>
      </c>
      <c r="E113" s="123">
        <f>H113+K113+N113+Q113+T113+W113+Z113+AC113+AF113+AI113+AL113+AO113</f>
        <v>0</v>
      </c>
      <c r="F113" s="123">
        <f>I113+L113+O113+R113+U113+X113+AA113+AD113+AG113+AJ113+AM113+AP113</f>
        <v>0</v>
      </c>
      <c r="G113" s="123">
        <v>0</v>
      </c>
      <c r="H113" s="123">
        <v>0</v>
      </c>
      <c r="I113" s="123">
        <v>0</v>
      </c>
      <c r="J113" s="123">
        <v>0</v>
      </c>
      <c r="K113" s="150">
        <v>0</v>
      </c>
      <c r="L113" s="123">
        <v>0</v>
      </c>
      <c r="M113" s="138">
        <v>0</v>
      </c>
      <c r="N113" s="123">
        <v>0</v>
      </c>
      <c r="O113" s="123">
        <v>0</v>
      </c>
      <c r="P113" s="123">
        <v>0</v>
      </c>
      <c r="Q113" s="123">
        <v>0</v>
      </c>
      <c r="R113" s="123">
        <v>0</v>
      </c>
      <c r="S113" s="123">
        <v>0</v>
      </c>
      <c r="T113" s="117">
        <v>0</v>
      </c>
      <c r="U113" s="117">
        <v>0</v>
      </c>
      <c r="V113" s="117">
        <v>0</v>
      </c>
      <c r="W113" s="117">
        <v>0</v>
      </c>
      <c r="X113" s="117">
        <v>0</v>
      </c>
      <c r="Y113" s="117">
        <v>0</v>
      </c>
      <c r="Z113" s="117">
        <v>0</v>
      </c>
      <c r="AA113" s="117">
        <v>0</v>
      </c>
      <c r="AB113" s="117">
        <v>0</v>
      </c>
      <c r="AC113" s="117">
        <v>0</v>
      </c>
      <c r="AD113" s="117">
        <v>0</v>
      </c>
      <c r="AE113" s="117">
        <v>0</v>
      </c>
      <c r="AF113" s="117">
        <v>0</v>
      </c>
      <c r="AG113" s="117">
        <v>0</v>
      </c>
      <c r="AH113" s="117">
        <v>0</v>
      </c>
      <c r="AI113" s="123">
        <v>0</v>
      </c>
      <c r="AJ113" s="123">
        <v>0</v>
      </c>
      <c r="AK113" s="123">
        <v>0</v>
      </c>
      <c r="AL113" s="117">
        <v>0</v>
      </c>
      <c r="AM113" s="117">
        <v>0</v>
      </c>
      <c r="AN113" s="117">
        <v>0</v>
      </c>
      <c r="AO113" s="123">
        <v>0</v>
      </c>
      <c r="AP113" s="123">
        <v>0</v>
      </c>
      <c r="AQ113" s="123">
        <v>0</v>
      </c>
      <c r="AR113" s="431"/>
      <c r="AS113" s="432"/>
      <c r="AT113" s="121"/>
      <c r="AU113" s="121"/>
      <c r="AV113" s="155"/>
    </row>
    <row r="114" spans="1:48" s="31" customFormat="1" ht="23.25" customHeight="1">
      <c r="A114" s="430"/>
      <c r="B114" s="430"/>
      <c r="C114" s="430"/>
      <c r="D114" s="225" t="s">
        <v>463</v>
      </c>
      <c r="E114" s="123">
        <f t="shared" ref="E114:E115" si="239">H114+K114+N114+Q114+T114+W114+Z114+AC114+AF114+AI114+AL114+AO114</f>
        <v>619.20000000000005</v>
      </c>
      <c r="F114" s="123">
        <f t="shared" ref="F114:F115" si="240">I114+L114+O114+R114+U114+X114+AA114+AD114+AG114+AJ114+AM114+AP114</f>
        <v>619.1</v>
      </c>
      <c r="G114" s="123">
        <f>F114/E114*100</f>
        <v>99.983850129198956</v>
      </c>
      <c r="H114" s="123">
        <v>0</v>
      </c>
      <c r="I114" s="123">
        <v>0</v>
      </c>
      <c r="J114" s="123">
        <v>0</v>
      </c>
      <c r="K114" s="150">
        <v>67.5</v>
      </c>
      <c r="L114" s="123">
        <v>67.5</v>
      </c>
      <c r="M114" s="138">
        <f>L114/K114*100</f>
        <v>100</v>
      </c>
      <c r="N114" s="123">
        <v>4.0999999999999996</v>
      </c>
      <c r="O114" s="123">
        <v>4.0999999999999996</v>
      </c>
      <c r="P114" s="123">
        <f>O114/N114*100</f>
        <v>100</v>
      </c>
      <c r="Q114" s="123">
        <f>0+59.6</f>
        <v>59.6</v>
      </c>
      <c r="R114" s="123">
        <v>59.6</v>
      </c>
      <c r="S114" s="123">
        <f>R114/Q114*100</f>
        <v>100</v>
      </c>
      <c r="T114" s="117">
        <f>101.3-59.6+53.3</f>
        <v>95</v>
      </c>
      <c r="U114" s="117">
        <v>95</v>
      </c>
      <c r="V114" s="123">
        <f>U114/T114*100</f>
        <v>100</v>
      </c>
      <c r="W114" s="117">
        <f>172.8-53.3-4.5</f>
        <v>115.00000000000001</v>
      </c>
      <c r="X114" s="117">
        <v>47.3</v>
      </c>
      <c r="Y114" s="117">
        <f>X114/W114*100</f>
        <v>41.130434782608688</v>
      </c>
      <c r="Z114" s="117">
        <v>16.100000000000001</v>
      </c>
      <c r="AA114" s="117">
        <v>16.100000000000001</v>
      </c>
      <c r="AB114" s="117">
        <f>AA114/Z114*100</f>
        <v>100</v>
      </c>
      <c r="AC114" s="117">
        <v>36</v>
      </c>
      <c r="AD114" s="117">
        <v>36</v>
      </c>
      <c r="AE114" s="123">
        <f>AD114/AC114*100</f>
        <v>100</v>
      </c>
      <c r="AF114" s="117">
        <f>87.8-4.5</f>
        <v>83.3</v>
      </c>
      <c r="AG114" s="117">
        <v>33.4</v>
      </c>
      <c r="AH114" s="117">
        <f>AG114/AF114*100</f>
        <v>40.096038415366145</v>
      </c>
      <c r="AI114" s="123">
        <v>142.6</v>
      </c>
      <c r="AJ114" s="123">
        <v>241.4</v>
      </c>
      <c r="AK114" s="123">
        <f>AJ114/AI114*100</f>
        <v>169.28471248246845</v>
      </c>
      <c r="AL114" s="117">
        <v>0</v>
      </c>
      <c r="AM114" s="117">
        <v>10.7</v>
      </c>
      <c r="AN114" s="117">
        <v>100</v>
      </c>
      <c r="AO114" s="123">
        <v>0</v>
      </c>
      <c r="AP114" s="123">
        <v>8</v>
      </c>
      <c r="AQ114" s="123">
        <v>100</v>
      </c>
      <c r="AR114" s="431"/>
      <c r="AS114" s="432"/>
      <c r="AT114" s="121"/>
      <c r="AU114" s="121"/>
      <c r="AV114" s="155"/>
    </row>
    <row r="115" spans="1:48" s="31" customFormat="1" ht="30.75" customHeight="1">
      <c r="A115" s="430"/>
      <c r="B115" s="430"/>
      <c r="C115" s="430"/>
      <c r="D115" s="143" t="s">
        <v>257</v>
      </c>
      <c r="E115" s="123">
        <f t="shared" si="239"/>
        <v>0</v>
      </c>
      <c r="F115" s="123">
        <f t="shared" si="240"/>
        <v>0</v>
      </c>
      <c r="G115" s="123">
        <v>0</v>
      </c>
      <c r="H115" s="123">
        <v>0</v>
      </c>
      <c r="I115" s="123">
        <v>0</v>
      </c>
      <c r="J115" s="123">
        <v>0</v>
      </c>
      <c r="K115" s="150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17">
        <v>0</v>
      </c>
      <c r="U115" s="117">
        <v>0</v>
      </c>
      <c r="V115" s="117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23">
        <v>0</v>
      </c>
      <c r="AJ115" s="123">
        <v>0</v>
      </c>
      <c r="AK115" s="123">
        <v>0</v>
      </c>
      <c r="AL115" s="117">
        <v>0</v>
      </c>
      <c r="AM115" s="117">
        <v>0</v>
      </c>
      <c r="AN115" s="117">
        <v>0</v>
      </c>
      <c r="AO115" s="123">
        <v>0</v>
      </c>
      <c r="AP115" s="123">
        <v>0</v>
      </c>
      <c r="AQ115" s="123">
        <v>0</v>
      </c>
      <c r="AR115" s="431"/>
      <c r="AS115" s="432"/>
      <c r="AT115" s="121"/>
      <c r="AU115" s="121"/>
      <c r="AV115" s="155"/>
    </row>
    <row r="116" spans="1:48" s="31" customFormat="1" ht="27.75" customHeight="1">
      <c r="A116" s="430"/>
      <c r="B116" s="430"/>
      <c r="C116" s="430"/>
      <c r="D116" s="143" t="s">
        <v>469</v>
      </c>
      <c r="E116" s="123">
        <f>H116+K116+N116+Q116+T116+W116+Z116+AC116+AF116+AI116+AL116+AO116</f>
        <v>0</v>
      </c>
      <c r="F116" s="123">
        <f>I116+L116+O116+R116+U116+X116+AA116+AD116+AG116+AJ116+AM116+AP116</f>
        <v>0</v>
      </c>
      <c r="G116" s="123">
        <v>0</v>
      </c>
      <c r="H116" s="123">
        <v>0</v>
      </c>
      <c r="I116" s="123">
        <v>0</v>
      </c>
      <c r="J116" s="123">
        <v>0</v>
      </c>
      <c r="K116" s="150">
        <v>0</v>
      </c>
      <c r="L116" s="123">
        <v>0</v>
      </c>
      <c r="M116" s="123">
        <v>0</v>
      </c>
      <c r="N116" s="123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17">
        <v>0</v>
      </c>
      <c r="U116" s="117">
        <v>0</v>
      </c>
      <c r="V116" s="123">
        <v>0</v>
      </c>
      <c r="W116" s="117">
        <v>0</v>
      </c>
      <c r="X116" s="117">
        <v>0</v>
      </c>
      <c r="Y116" s="117">
        <v>0</v>
      </c>
      <c r="Z116" s="117">
        <v>0</v>
      </c>
      <c r="AA116" s="117">
        <v>0</v>
      </c>
      <c r="AB116" s="117">
        <v>0</v>
      </c>
      <c r="AC116" s="117">
        <v>0</v>
      </c>
      <c r="AD116" s="117">
        <v>0</v>
      </c>
      <c r="AE116" s="117">
        <v>0</v>
      </c>
      <c r="AF116" s="117">
        <v>0</v>
      </c>
      <c r="AG116" s="117">
        <v>0</v>
      </c>
      <c r="AH116" s="123">
        <v>0</v>
      </c>
      <c r="AI116" s="123">
        <v>0</v>
      </c>
      <c r="AJ116" s="123">
        <v>0</v>
      </c>
      <c r="AK116" s="123">
        <v>0</v>
      </c>
      <c r="AL116" s="117">
        <v>0</v>
      </c>
      <c r="AM116" s="117">
        <v>0</v>
      </c>
      <c r="AN116" s="117">
        <v>0</v>
      </c>
      <c r="AO116" s="123">
        <v>0</v>
      </c>
      <c r="AP116" s="123">
        <v>0</v>
      </c>
      <c r="AQ116" s="123">
        <v>0</v>
      </c>
      <c r="AR116" s="431"/>
      <c r="AS116" s="432"/>
      <c r="AT116" s="121"/>
      <c r="AU116" s="121"/>
      <c r="AV116" s="155"/>
    </row>
    <row r="117" spans="1:48" s="31" customFormat="1" ht="12.75" customHeight="1">
      <c r="A117" s="430" t="s">
        <v>498</v>
      </c>
      <c r="B117" s="430"/>
      <c r="C117" s="430"/>
      <c r="D117" s="143" t="s">
        <v>444</v>
      </c>
      <c r="E117" s="123">
        <f>SUM(E118:E120)</f>
        <v>0</v>
      </c>
      <c r="F117" s="123">
        <f t="shared" ref="F117" si="241">SUM(F118:F120)</f>
        <v>0</v>
      </c>
      <c r="G117" s="123">
        <f t="shared" ref="G117:AQ117" si="242">SUM(G118:G120)</f>
        <v>0</v>
      </c>
      <c r="H117" s="123">
        <f t="shared" si="242"/>
        <v>0</v>
      </c>
      <c r="I117" s="123">
        <f t="shared" si="242"/>
        <v>0</v>
      </c>
      <c r="J117" s="123">
        <f t="shared" si="242"/>
        <v>0</v>
      </c>
      <c r="K117" s="123">
        <f t="shared" si="242"/>
        <v>0</v>
      </c>
      <c r="L117" s="123">
        <f t="shared" si="242"/>
        <v>0</v>
      </c>
      <c r="M117" s="123">
        <f t="shared" si="242"/>
        <v>0</v>
      </c>
      <c r="N117" s="123">
        <f t="shared" si="242"/>
        <v>0</v>
      </c>
      <c r="O117" s="123">
        <f t="shared" si="242"/>
        <v>0</v>
      </c>
      <c r="P117" s="123">
        <f t="shared" si="242"/>
        <v>0</v>
      </c>
      <c r="Q117" s="123">
        <f t="shared" si="242"/>
        <v>0</v>
      </c>
      <c r="R117" s="123">
        <f t="shared" si="242"/>
        <v>0</v>
      </c>
      <c r="S117" s="123">
        <f t="shared" si="242"/>
        <v>0</v>
      </c>
      <c r="T117" s="123">
        <f t="shared" si="242"/>
        <v>0</v>
      </c>
      <c r="U117" s="123">
        <f t="shared" si="242"/>
        <v>0</v>
      </c>
      <c r="V117" s="123">
        <f t="shared" si="242"/>
        <v>0</v>
      </c>
      <c r="W117" s="123">
        <f t="shared" si="242"/>
        <v>0</v>
      </c>
      <c r="X117" s="123">
        <f t="shared" si="242"/>
        <v>0</v>
      </c>
      <c r="Y117" s="123">
        <f t="shared" si="242"/>
        <v>0</v>
      </c>
      <c r="Z117" s="123">
        <f t="shared" si="242"/>
        <v>0</v>
      </c>
      <c r="AA117" s="123">
        <f t="shared" si="242"/>
        <v>0</v>
      </c>
      <c r="AB117" s="123">
        <f t="shared" si="242"/>
        <v>0</v>
      </c>
      <c r="AC117" s="123">
        <f t="shared" si="242"/>
        <v>0</v>
      </c>
      <c r="AD117" s="123">
        <f t="shared" si="242"/>
        <v>0</v>
      </c>
      <c r="AE117" s="123">
        <f t="shared" si="242"/>
        <v>0</v>
      </c>
      <c r="AF117" s="123">
        <f t="shared" si="242"/>
        <v>0</v>
      </c>
      <c r="AG117" s="123">
        <f t="shared" si="242"/>
        <v>0</v>
      </c>
      <c r="AH117" s="123">
        <f t="shared" si="242"/>
        <v>0</v>
      </c>
      <c r="AI117" s="123">
        <f t="shared" si="242"/>
        <v>0</v>
      </c>
      <c r="AJ117" s="123">
        <f t="shared" si="242"/>
        <v>0</v>
      </c>
      <c r="AK117" s="123">
        <f t="shared" si="242"/>
        <v>0</v>
      </c>
      <c r="AL117" s="123">
        <f t="shared" si="242"/>
        <v>0</v>
      </c>
      <c r="AM117" s="123">
        <f t="shared" si="242"/>
        <v>0</v>
      </c>
      <c r="AN117" s="123">
        <f t="shared" si="242"/>
        <v>0</v>
      </c>
      <c r="AO117" s="123">
        <f t="shared" si="242"/>
        <v>0</v>
      </c>
      <c r="AP117" s="123">
        <f t="shared" si="242"/>
        <v>0</v>
      </c>
      <c r="AQ117" s="123">
        <f t="shared" si="242"/>
        <v>0</v>
      </c>
      <c r="AR117" s="431"/>
      <c r="AS117" s="432"/>
      <c r="AT117" s="121"/>
      <c r="AU117" s="121"/>
      <c r="AV117" s="155"/>
    </row>
    <row r="118" spans="1:48" s="31" customFormat="1" ht="48">
      <c r="A118" s="430"/>
      <c r="B118" s="430"/>
      <c r="C118" s="430"/>
      <c r="D118" s="225" t="s">
        <v>442</v>
      </c>
      <c r="E118" s="123">
        <f>H118+K118+N118+Q118+T118+W118+Z118+AC118+AF118+AI118+AL118+AO118</f>
        <v>0</v>
      </c>
      <c r="F118" s="123">
        <f>I118+L118+O118+R118+U118+X118+AA118+AD118+AG118+AJ118+AM118+AP118</f>
        <v>0</v>
      </c>
      <c r="G118" s="123">
        <f t="shared" ref="G118:AQ121" si="243">J118+M118+P118+S118+V118+Y118+AB118+AE118+AH118+AK118+AN118+AQ118</f>
        <v>0</v>
      </c>
      <c r="H118" s="123">
        <f t="shared" si="243"/>
        <v>0</v>
      </c>
      <c r="I118" s="123">
        <f t="shared" si="243"/>
        <v>0</v>
      </c>
      <c r="J118" s="123">
        <f t="shared" si="243"/>
        <v>0</v>
      </c>
      <c r="K118" s="123">
        <f t="shared" si="243"/>
        <v>0</v>
      </c>
      <c r="L118" s="123">
        <f t="shared" si="243"/>
        <v>0</v>
      </c>
      <c r="M118" s="123">
        <f t="shared" si="243"/>
        <v>0</v>
      </c>
      <c r="N118" s="123">
        <f t="shared" si="243"/>
        <v>0</v>
      </c>
      <c r="O118" s="123">
        <f t="shared" si="243"/>
        <v>0</v>
      </c>
      <c r="P118" s="123">
        <f t="shared" si="243"/>
        <v>0</v>
      </c>
      <c r="Q118" s="123">
        <f t="shared" si="243"/>
        <v>0</v>
      </c>
      <c r="R118" s="123">
        <f t="shared" si="243"/>
        <v>0</v>
      </c>
      <c r="S118" s="123">
        <f t="shared" si="243"/>
        <v>0</v>
      </c>
      <c r="T118" s="123">
        <f t="shared" si="243"/>
        <v>0</v>
      </c>
      <c r="U118" s="123">
        <f t="shared" si="243"/>
        <v>0</v>
      </c>
      <c r="V118" s="123">
        <f t="shared" si="243"/>
        <v>0</v>
      </c>
      <c r="W118" s="123">
        <f t="shared" si="243"/>
        <v>0</v>
      </c>
      <c r="X118" s="123">
        <f t="shared" si="243"/>
        <v>0</v>
      </c>
      <c r="Y118" s="123">
        <f t="shared" si="243"/>
        <v>0</v>
      </c>
      <c r="Z118" s="123">
        <f t="shared" si="243"/>
        <v>0</v>
      </c>
      <c r="AA118" s="123">
        <f t="shared" si="243"/>
        <v>0</v>
      </c>
      <c r="AB118" s="123">
        <f t="shared" si="243"/>
        <v>0</v>
      </c>
      <c r="AC118" s="123">
        <f t="shared" si="243"/>
        <v>0</v>
      </c>
      <c r="AD118" s="123">
        <f t="shared" si="243"/>
        <v>0</v>
      </c>
      <c r="AE118" s="123">
        <f t="shared" si="243"/>
        <v>0</v>
      </c>
      <c r="AF118" s="123">
        <f t="shared" si="243"/>
        <v>0</v>
      </c>
      <c r="AG118" s="123">
        <f t="shared" si="243"/>
        <v>0</v>
      </c>
      <c r="AH118" s="123">
        <f t="shared" si="243"/>
        <v>0</v>
      </c>
      <c r="AI118" s="123">
        <f t="shared" si="243"/>
        <v>0</v>
      </c>
      <c r="AJ118" s="123">
        <f t="shared" si="243"/>
        <v>0</v>
      </c>
      <c r="AK118" s="123">
        <f t="shared" si="243"/>
        <v>0</v>
      </c>
      <c r="AL118" s="123">
        <f t="shared" si="243"/>
        <v>0</v>
      </c>
      <c r="AM118" s="123">
        <f t="shared" si="243"/>
        <v>0</v>
      </c>
      <c r="AN118" s="123">
        <f t="shared" si="243"/>
        <v>0</v>
      </c>
      <c r="AO118" s="123">
        <f t="shared" si="243"/>
        <v>0</v>
      </c>
      <c r="AP118" s="123">
        <f t="shared" si="243"/>
        <v>0</v>
      </c>
      <c r="AQ118" s="123">
        <f t="shared" si="243"/>
        <v>0</v>
      </c>
      <c r="AR118" s="431"/>
      <c r="AS118" s="432"/>
      <c r="AT118" s="121"/>
      <c r="AU118" s="121"/>
      <c r="AV118" s="155"/>
    </row>
    <row r="119" spans="1:48" s="31" customFormat="1" ht="23.25" customHeight="1">
      <c r="A119" s="430"/>
      <c r="B119" s="430"/>
      <c r="C119" s="430"/>
      <c r="D119" s="225" t="s">
        <v>463</v>
      </c>
      <c r="E119" s="123">
        <f t="shared" ref="E119:E120" si="244">H119+K119+N119+Q119+T119+W119+Z119+AC119+AF119+AI119+AL119+AO119</f>
        <v>0</v>
      </c>
      <c r="F119" s="123">
        <f t="shared" ref="F119:F120" si="245">I119+L119+O119+R119+U119+X119+AA119+AD119+AG119+AJ119+AM119+AP119</f>
        <v>0</v>
      </c>
      <c r="G119" s="123">
        <f t="shared" si="243"/>
        <v>0</v>
      </c>
      <c r="H119" s="123">
        <f t="shared" si="243"/>
        <v>0</v>
      </c>
      <c r="I119" s="123">
        <f t="shared" si="243"/>
        <v>0</v>
      </c>
      <c r="J119" s="123">
        <f t="shared" si="243"/>
        <v>0</v>
      </c>
      <c r="K119" s="123">
        <f t="shared" si="243"/>
        <v>0</v>
      </c>
      <c r="L119" s="123">
        <f t="shared" si="243"/>
        <v>0</v>
      </c>
      <c r="M119" s="123">
        <f t="shared" si="243"/>
        <v>0</v>
      </c>
      <c r="N119" s="123">
        <f t="shared" si="243"/>
        <v>0</v>
      </c>
      <c r="O119" s="123">
        <f t="shared" si="243"/>
        <v>0</v>
      </c>
      <c r="P119" s="123">
        <f t="shared" si="243"/>
        <v>0</v>
      </c>
      <c r="Q119" s="123">
        <f t="shared" si="243"/>
        <v>0</v>
      </c>
      <c r="R119" s="123">
        <f t="shared" si="243"/>
        <v>0</v>
      </c>
      <c r="S119" s="123">
        <f t="shared" si="243"/>
        <v>0</v>
      </c>
      <c r="T119" s="123">
        <f t="shared" si="243"/>
        <v>0</v>
      </c>
      <c r="U119" s="123">
        <f t="shared" si="243"/>
        <v>0</v>
      </c>
      <c r="V119" s="123">
        <f t="shared" si="243"/>
        <v>0</v>
      </c>
      <c r="W119" s="123">
        <f t="shared" si="243"/>
        <v>0</v>
      </c>
      <c r="X119" s="123">
        <f t="shared" si="243"/>
        <v>0</v>
      </c>
      <c r="Y119" s="123">
        <f t="shared" si="243"/>
        <v>0</v>
      </c>
      <c r="Z119" s="123">
        <f t="shared" si="243"/>
        <v>0</v>
      </c>
      <c r="AA119" s="123">
        <f t="shared" si="243"/>
        <v>0</v>
      </c>
      <c r="AB119" s="123">
        <f t="shared" si="243"/>
        <v>0</v>
      </c>
      <c r="AC119" s="123">
        <f t="shared" si="243"/>
        <v>0</v>
      </c>
      <c r="AD119" s="123">
        <f t="shared" si="243"/>
        <v>0</v>
      </c>
      <c r="AE119" s="123">
        <f t="shared" si="243"/>
        <v>0</v>
      </c>
      <c r="AF119" s="123">
        <f t="shared" si="243"/>
        <v>0</v>
      </c>
      <c r="AG119" s="123">
        <f t="shared" si="243"/>
        <v>0</v>
      </c>
      <c r="AH119" s="123">
        <f t="shared" si="243"/>
        <v>0</v>
      </c>
      <c r="AI119" s="123">
        <f t="shared" si="243"/>
        <v>0</v>
      </c>
      <c r="AJ119" s="123">
        <f t="shared" si="243"/>
        <v>0</v>
      </c>
      <c r="AK119" s="123">
        <f t="shared" si="243"/>
        <v>0</v>
      </c>
      <c r="AL119" s="123">
        <f t="shared" si="243"/>
        <v>0</v>
      </c>
      <c r="AM119" s="123">
        <f t="shared" si="243"/>
        <v>0</v>
      </c>
      <c r="AN119" s="123">
        <f t="shared" si="243"/>
        <v>0</v>
      </c>
      <c r="AO119" s="123">
        <f t="shared" si="243"/>
        <v>0</v>
      </c>
      <c r="AP119" s="123">
        <f t="shared" si="243"/>
        <v>0</v>
      </c>
      <c r="AQ119" s="123">
        <f t="shared" si="243"/>
        <v>0</v>
      </c>
      <c r="AR119" s="431"/>
      <c r="AS119" s="432"/>
      <c r="AT119" s="121"/>
      <c r="AU119" s="121"/>
      <c r="AV119" s="155"/>
    </row>
    <row r="120" spans="1:48" s="31" customFormat="1" ht="30.75" customHeight="1">
      <c r="A120" s="430"/>
      <c r="B120" s="430"/>
      <c r="C120" s="430"/>
      <c r="D120" s="143" t="s">
        <v>257</v>
      </c>
      <c r="E120" s="123">
        <f t="shared" si="244"/>
        <v>0</v>
      </c>
      <c r="F120" s="123">
        <f t="shared" si="245"/>
        <v>0</v>
      </c>
      <c r="G120" s="123">
        <f t="shared" si="243"/>
        <v>0</v>
      </c>
      <c r="H120" s="123">
        <f t="shared" si="243"/>
        <v>0</v>
      </c>
      <c r="I120" s="123">
        <f t="shared" si="243"/>
        <v>0</v>
      </c>
      <c r="J120" s="123">
        <f t="shared" si="243"/>
        <v>0</v>
      </c>
      <c r="K120" s="123">
        <f t="shared" si="243"/>
        <v>0</v>
      </c>
      <c r="L120" s="123">
        <f t="shared" si="243"/>
        <v>0</v>
      </c>
      <c r="M120" s="123">
        <f t="shared" si="243"/>
        <v>0</v>
      </c>
      <c r="N120" s="123">
        <f t="shared" si="243"/>
        <v>0</v>
      </c>
      <c r="O120" s="123">
        <f t="shared" si="243"/>
        <v>0</v>
      </c>
      <c r="P120" s="123">
        <f t="shared" si="243"/>
        <v>0</v>
      </c>
      <c r="Q120" s="123">
        <f t="shared" si="243"/>
        <v>0</v>
      </c>
      <c r="R120" s="123">
        <f t="shared" si="243"/>
        <v>0</v>
      </c>
      <c r="S120" s="123">
        <f t="shared" si="243"/>
        <v>0</v>
      </c>
      <c r="T120" s="123">
        <f t="shared" si="243"/>
        <v>0</v>
      </c>
      <c r="U120" s="123">
        <f t="shared" si="243"/>
        <v>0</v>
      </c>
      <c r="V120" s="123">
        <f t="shared" si="243"/>
        <v>0</v>
      </c>
      <c r="W120" s="123">
        <f t="shared" si="243"/>
        <v>0</v>
      </c>
      <c r="X120" s="123">
        <f t="shared" si="243"/>
        <v>0</v>
      </c>
      <c r="Y120" s="123">
        <f t="shared" si="243"/>
        <v>0</v>
      </c>
      <c r="Z120" s="123">
        <f t="shared" si="243"/>
        <v>0</v>
      </c>
      <c r="AA120" s="123">
        <f t="shared" si="243"/>
        <v>0</v>
      </c>
      <c r="AB120" s="123">
        <f t="shared" si="243"/>
        <v>0</v>
      </c>
      <c r="AC120" s="123">
        <f t="shared" si="243"/>
        <v>0</v>
      </c>
      <c r="AD120" s="123">
        <f t="shared" si="243"/>
        <v>0</v>
      </c>
      <c r="AE120" s="123">
        <f t="shared" si="243"/>
        <v>0</v>
      </c>
      <c r="AF120" s="123">
        <f t="shared" si="243"/>
        <v>0</v>
      </c>
      <c r="AG120" s="123">
        <f t="shared" si="243"/>
        <v>0</v>
      </c>
      <c r="AH120" s="123">
        <f t="shared" si="243"/>
        <v>0</v>
      </c>
      <c r="AI120" s="123">
        <f t="shared" si="243"/>
        <v>0</v>
      </c>
      <c r="AJ120" s="123">
        <f t="shared" si="243"/>
        <v>0</v>
      </c>
      <c r="AK120" s="123">
        <f t="shared" si="243"/>
        <v>0</v>
      </c>
      <c r="AL120" s="123">
        <f t="shared" si="243"/>
        <v>0</v>
      </c>
      <c r="AM120" s="123">
        <f t="shared" si="243"/>
        <v>0</v>
      </c>
      <c r="AN120" s="123">
        <f t="shared" si="243"/>
        <v>0</v>
      </c>
      <c r="AO120" s="123">
        <f t="shared" si="243"/>
        <v>0</v>
      </c>
      <c r="AP120" s="123">
        <f t="shared" si="243"/>
        <v>0</v>
      </c>
      <c r="AQ120" s="123">
        <f t="shared" si="243"/>
        <v>0</v>
      </c>
      <c r="AR120" s="431"/>
      <c r="AS120" s="432"/>
      <c r="AT120" s="121"/>
      <c r="AU120" s="121"/>
      <c r="AV120" s="155"/>
    </row>
    <row r="121" spans="1:48" s="31" customFormat="1" ht="27.75" customHeight="1">
      <c r="A121" s="430"/>
      <c r="B121" s="430"/>
      <c r="C121" s="430"/>
      <c r="D121" s="143" t="s">
        <v>469</v>
      </c>
      <c r="E121" s="123">
        <f>H121+K121+N121+Q121+T121+W121+Z121+AC121+AF121+AI121+AL121+AO121</f>
        <v>0</v>
      </c>
      <c r="F121" s="123">
        <f>I121+L121+O121+R121+U121+X121+AA121+AD121+AG121+AJ121+AM121+AP121</f>
        <v>0</v>
      </c>
      <c r="G121" s="123">
        <f t="shared" si="243"/>
        <v>0</v>
      </c>
      <c r="H121" s="123">
        <f t="shared" si="243"/>
        <v>0</v>
      </c>
      <c r="I121" s="123">
        <f t="shared" si="243"/>
        <v>0</v>
      </c>
      <c r="J121" s="123">
        <f t="shared" si="243"/>
        <v>0</v>
      </c>
      <c r="K121" s="123">
        <f t="shared" si="243"/>
        <v>0</v>
      </c>
      <c r="L121" s="123">
        <f t="shared" si="243"/>
        <v>0</v>
      </c>
      <c r="M121" s="123">
        <f t="shared" si="243"/>
        <v>0</v>
      </c>
      <c r="N121" s="123">
        <f t="shared" si="243"/>
        <v>0</v>
      </c>
      <c r="O121" s="123">
        <f t="shared" si="243"/>
        <v>0</v>
      </c>
      <c r="P121" s="123">
        <f t="shared" si="243"/>
        <v>0</v>
      </c>
      <c r="Q121" s="123">
        <f t="shared" si="243"/>
        <v>0</v>
      </c>
      <c r="R121" s="123">
        <f t="shared" si="243"/>
        <v>0</v>
      </c>
      <c r="S121" s="123">
        <f t="shared" si="243"/>
        <v>0</v>
      </c>
      <c r="T121" s="123">
        <f t="shared" si="243"/>
        <v>0</v>
      </c>
      <c r="U121" s="123">
        <f t="shared" si="243"/>
        <v>0</v>
      </c>
      <c r="V121" s="123">
        <f t="shared" si="243"/>
        <v>0</v>
      </c>
      <c r="W121" s="123">
        <f t="shared" si="243"/>
        <v>0</v>
      </c>
      <c r="X121" s="123">
        <f t="shared" si="243"/>
        <v>0</v>
      </c>
      <c r="Y121" s="123">
        <f t="shared" si="243"/>
        <v>0</v>
      </c>
      <c r="Z121" s="123">
        <f t="shared" si="243"/>
        <v>0</v>
      </c>
      <c r="AA121" s="123">
        <f t="shared" si="243"/>
        <v>0</v>
      </c>
      <c r="AB121" s="123">
        <f t="shared" si="243"/>
        <v>0</v>
      </c>
      <c r="AC121" s="123">
        <f t="shared" si="243"/>
        <v>0</v>
      </c>
      <c r="AD121" s="123">
        <f t="shared" si="243"/>
        <v>0</v>
      </c>
      <c r="AE121" s="123">
        <f t="shared" si="243"/>
        <v>0</v>
      </c>
      <c r="AF121" s="123">
        <f t="shared" si="243"/>
        <v>0</v>
      </c>
      <c r="AG121" s="123">
        <f t="shared" si="243"/>
        <v>0</v>
      </c>
      <c r="AH121" s="123">
        <f t="shared" si="243"/>
        <v>0</v>
      </c>
      <c r="AI121" s="123">
        <f t="shared" si="243"/>
        <v>0</v>
      </c>
      <c r="AJ121" s="123">
        <f t="shared" si="243"/>
        <v>0</v>
      </c>
      <c r="AK121" s="123">
        <f t="shared" si="243"/>
        <v>0</v>
      </c>
      <c r="AL121" s="123">
        <f t="shared" si="243"/>
        <v>0</v>
      </c>
      <c r="AM121" s="123">
        <f t="shared" si="243"/>
        <v>0</v>
      </c>
      <c r="AN121" s="123">
        <f t="shared" si="243"/>
        <v>0</v>
      </c>
      <c r="AO121" s="123">
        <f t="shared" si="243"/>
        <v>0</v>
      </c>
      <c r="AP121" s="123">
        <f t="shared" si="243"/>
        <v>0</v>
      </c>
      <c r="AQ121" s="123">
        <f t="shared" si="243"/>
        <v>0</v>
      </c>
      <c r="AR121" s="431"/>
      <c r="AS121" s="432"/>
      <c r="AT121" s="121"/>
      <c r="AU121" s="121"/>
      <c r="AV121" s="155"/>
    </row>
    <row r="122" spans="1:48" s="31" customFormat="1" ht="12.75" customHeight="1">
      <c r="A122" s="430" t="s">
        <v>499</v>
      </c>
      <c r="B122" s="430"/>
      <c r="C122" s="430"/>
      <c r="D122" s="143" t="s">
        <v>444</v>
      </c>
      <c r="E122" s="123">
        <f>SUM(E123:E125)</f>
        <v>1208.0999999999999</v>
      </c>
      <c r="F122" s="123">
        <f t="shared" ref="F122" si="246">SUM(F123:F125)</f>
        <v>1208.0999999999999</v>
      </c>
      <c r="G122" s="123">
        <f t="shared" ref="G122:G123" si="247">F122/E122*100</f>
        <v>100</v>
      </c>
      <c r="H122" s="123">
        <f t="shared" ref="H122:I122" si="248">SUM(H123:H125)</f>
        <v>0</v>
      </c>
      <c r="I122" s="123">
        <f t="shared" si="248"/>
        <v>0</v>
      </c>
      <c r="J122" s="123">
        <v>0</v>
      </c>
      <c r="K122" s="123">
        <f t="shared" ref="K122:L122" si="249">SUM(K123:K125)</f>
        <v>0</v>
      </c>
      <c r="L122" s="123">
        <f t="shared" si="249"/>
        <v>0</v>
      </c>
      <c r="M122" s="123">
        <v>0</v>
      </c>
      <c r="N122" s="123">
        <f t="shared" ref="N122:O122" si="250">SUM(N123:N125)</f>
        <v>0</v>
      </c>
      <c r="O122" s="123">
        <f t="shared" si="250"/>
        <v>0</v>
      </c>
      <c r="P122" s="123">
        <v>0</v>
      </c>
      <c r="Q122" s="123">
        <f t="shared" ref="Q122:R122" si="251">SUM(Q123:Q125)</f>
        <v>0</v>
      </c>
      <c r="R122" s="123">
        <f t="shared" si="251"/>
        <v>0</v>
      </c>
      <c r="S122" s="123">
        <v>0</v>
      </c>
      <c r="T122" s="123">
        <f t="shared" ref="T122:U122" si="252">SUM(T123:T125)</f>
        <v>0</v>
      </c>
      <c r="U122" s="123">
        <f t="shared" si="252"/>
        <v>0</v>
      </c>
      <c r="V122" s="123">
        <v>0</v>
      </c>
      <c r="W122" s="123">
        <f t="shared" ref="W122:AA122" si="253">SUM(W123:W125)</f>
        <v>54.3</v>
      </c>
      <c r="X122" s="123">
        <f t="shared" si="253"/>
        <v>40.4</v>
      </c>
      <c r="Y122" s="123">
        <f t="shared" si="253"/>
        <v>74.401473296500924</v>
      </c>
      <c r="Z122" s="123">
        <f t="shared" si="253"/>
        <v>337.4</v>
      </c>
      <c r="AA122" s="123">
        <f t="shared" si="253"/>
        <v>337.4</v>
      </c>
      <c r="AB122" s="117">
        <f t="shared" ref="AB122:AB123" si="254">AA122/Z122*100</f>
        <v>100</v>
      </c>
      <c r="AC122" s="123">
        <f t="shared" ref="AC122:AD122" si="255">SUM(AC123:AC125)</f>
        <v>345.79999999999995</v>
      </c>
      <c r="AD122" s="123">
        <f t="shared" si="255"/>
        <v>345.79999999999995</v>
      </c>
      <c r="AE122" s="123">
        <f t="shared" ref="AE122:AE123" si="256">AD122/AC122*100</f>
        <v>100</v>
      </c>
      <c r="AF122" s="123">
        <f t="shared" ref="AF122:AG122" si="257">SUM(AF123:AF125)</f>
        <v>470.6</v>
      </c>
      <c r="AG122" s="123">
        <f t="shared" si="257"/>
        <v>450.8</v>
      </c>
      <c r="AH122" s="123">
        <f t="shared" ref="AH122:AH123" si="258">AG122/AF122*100</f>
        <v>95.792605184870368</v>
      </c>
      <c r="AI122" s="123">
        <f t="shared" ref="AI122:AQ122" si="259">SUM(AI123:AI125)</f>
        <v>0</v>
      </c>
      <c r="AJ122" s="123">
        <f t="shared" si="259"/>
        <v>32.9</v>
      </c>
      <c r="AK122" s="123">
        <f t="shared" si="259"/>
        <v>100</v>
      </c>
      <c r="AL122" s="123">
        <f t="shared" si="259"/>
        <v>0</v>
      </c>
      <c r="AM122" s="123">
        <f t="shared" si="259"/>
        <v>0</v>
      </c>
      <c r="AN122" s="123">
        <f t="shared" si="259"/>
        <v>0</v>
      </c>
      <c r="AO122" s="123">
        <f t="shared" si="259"/>
        <v>0</v>
      </c>
      <c r="AP122" s="123">
        <f t="shared" si="259"/>
        <v>0.8</v>
      </c>
      <c r="AQ122" s="123">
        <f t="shared" si="259"/>
        <v>100</v>
      </c>
      <c r="AR122" s="431"/>
      <c r="AS122" s="432"/>
      <c r="AT122" s="121"/>
      <c r="AU122" s="121"/>
      <c r="AV122" s="155"/>
    </row>
    <row r="123" spans="1:48" s="31" customFormat="1" ht="48">
      <c r="A123" s="430"/>
      <c r="B123" s="430"/>
      <c r="C123" s="430"/>
      <c r="D123" s="225" t="s">
        <v>442</v>
      </c>
      <c r="E123" s="123">
        <f>H123+K123+N123+Q123+T123+W123+Z123+AC123+AF123+AI123+AL123+AO123</f>
        <v>1208.0999999999999</v>
      </c>
      <c r="F123" s="123">
        <f>I123+L123+O123+R123+U123+X123+AA123+AD123+AG123+AJ123+AM123+AP123</f>
        <v>1208.0999999999999</v>
      </c>
      <c r="G123" s="123">
        <f t="shared" si="247"/>
        <v>100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0</v>
      </c>
      <c r="T123" s="123">
        <v>0</v>
      </c>
      <c r="U123" s="123">
        <v>0</v>
      </c>
      <c r="V123" s="117">
        <v>0</v>
      </c>
      <c r="W123" s="123">
        <v>54.3</v>
      </c>
      <c r="X123" s="123">
        <v>40.4</v>
      </c>
      <c r="Y123" s="117">
        <f t="shared" ref="Y123" si="260">X123/W123*100</f>
        <v>74.401473296500924</v>
      </c>
      <c r="Z123" s="123">
        <v>337.4</v>
      </c>
      <c r="AA123" s="123">
        <v>337.4</v>
      </c>
      <c r="AB123" s="117">
        <f t="shared" si="254"/>
        <v>100</v>
      </c>
      <c r="AC123" s="123">
        <f>332.4+13.4</f>
        <v>345.79999999999995</v>
      </c>
      <c r="AD123" s="123">
        <f>332.4+13.4</f>
        <v>345.79999999999995</v>
      </c>
      <c r="AE123" s="117">
        <f t="shared" si="256"/>
        <v>100</v>
      </c>
      <c r="AF123" s="123">
        <f>434+36.6</f>
        <v>470.6</v>
      </c>
      <c r="AG123" s="123">
        <f>414.2+36.6</f>
        <v>450.8</v>
      </c>
      <c r="AH123" s="123">
        <f t="shared" si="258"/>
        <v>95.792605184870368</v>
      </c>
      <c r="AI123" s="123">
        <v>0</v>
      </c>
      <c r="AJ123" s="123">
        <v>32.9</v>
      </c>
      <c r="AK123" s="249">
        <v>100</v>
      </c>
      <c r="AL123" s="123">
        <v>0</v>
      </c>
      <c r="AM123" s="123">
        <v>0</v>
      </c>
      <c r="AN123" s="249">
        <v>0</v>
      </c>
      <c r="AO123" s="123">
        <v>0</v>
      </c>
      <c r="AP123" s="123">
        <v>0.8</v>
      </c>
      <c r="AQ123" s="123">
        <v>100</v>
      </c>
      <c r="AR123" s="431"/>
      <c r="AS123" s="432"/>
      <c r="AT123" s="121"/>
      <c r="AU123" s="121"/>
      <c r="AV123" s="155"/>
    </row>
    <row r="124" spans="1:48" s="31" customFormat="1" ht="23.25" customHeight="1">
      <c r="A124" s="430"/>
      <c r="B124" s="430"/>
      <c r="C124" s="430"/>
      <c r="D124" s="225" t="s">
        <v>463</v>
      </c>
      <c r="E124" s="123">
        <f t="shared" ref="E124:E125" si="261">H124+K124+N124+Q124+T124+W124+Z124+AC124+AF124+AI124+AL124+AO124</f>
        <v>0</v>
      </c>
      <c r="F124" s="123">
        <f t="shared" ref="F124:F125" si="262">I124+L124+O124+R124+U124+X124+AA124+AD124+AG124+AJ124+AM124+AP124</f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  <c r="U124" s="123">
        <v>0</v>
      </c>
      <c r="V124" s="117">
        <v>0</v>
      </c>
      <c r="W124" s="123">
        <v>0</v>
      </c>
      <c r="X124" s="123">
        <v>0</v>
      </c>
      <c r="Y124" s="117">
        <v>0</v>
      </c>
      <c r="Z124" s="123">
        <v>0</v>
      </c>
      <c r="AA124" s="123">
        <v>0</v>
      </c>
      <c r="AB124" s="117">
        <v>0</v>
      </c>
      <c r="AC124" s="123">
        <v>0</v>
      </c>
      <c r="AD124" s="123">
        <v>0</v>
      </c>
      <c r="AE124" s="117">
        <v>0</v>
      </c>
      <c r="AF124" s="123">
        <v>0</v>
      </c>
      <c r="AG124" s="123">
        <v>0</v>
      </c>
      <c r="AH124" s="123">
        <v>0</v>
      </c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17">
        <v>0</v>
      </c>
      <c r="AO124" s="123">
        <v>0</v>
      </c>
      <c r="AP124" s="123">
        <v>0</v>
      </c>
      <c r="AQ124" s="123">
        <v>0</v>
      </c>
      <c r="AR124" s="431"/>
      <c r="AS124" s="432"/>
      <c r="AT124" s="121"/>
      <c r="AU124" s="121"/>
      <c r="AV124" s="155"/>
    </row>
    <row r="125" spans="1:48" s="31" customFormat="1" ht="30.75" customHeight="1">
      <c r="A125" s="430"/>
      <c r="B125" s="430"/>
      <c r="C125" s="430"/>
      <c r="D125" s="143" t="s">
        <v>257</v>
      </c>
      <c r="E125" s="123">
        <f t="shared" si="261"/>
        <v>0</v>
      </c>
      <c r="F125" s="123">
        <f t="shared" si="262"/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123">
        <v>0</v>
      </c>
      <c r="V125" s="117">
        <v>0</v>
      </c>
      <c r="W125" s="123">
        <v>0</v>
      </c>
      <c r="X125" s="123">
        <v>0</v>
      </c>
      <c r="Y125" s="117">
        <v>0</v>
      </c>
      <c r="Z125" s="123">
        <v>0</v>
      </c>
      <c r="AA125" s="123">
        <v>0</v>
      </c>
      <c r="AB125" s="117">
        <v>0</v>
      </c>
      <c r="AC125" s="123">
        <v>0</v>
      </c>
      <c r="AD125" s="123">
        <v>0</v>
      </c>
      <c r="AE125" s="117">
        <v>0</v>
      </c>
      <c r="AF125" s="123">
        <v>0</v>
      </c>
      <c r="AG125" s="123">
        <v>0</v>
      </c>
      <c r="AH125" s="123">
        <v>0</v>
      </c>
      <c r="AI125" s="123">
        <v>0</v>
      </c>
      <c r="AJ125" s="123">
        <v>0</v>
      </c>
      <c r="AK125" s="123">
        <v>0</v>
      </c>
      <c r="AL125" s="123">
        <v>0</v>
      </c>
      <c r="AM125" s="123">
        <v>0</v>
      </c>
      <c r="AN125" s="117">
        <v>0</v>
      </c>
      <c r="AO125" s="123">
        <v>0</v>
      </c>
      <c r="AP125" s="123">
        <v>0</v>
      </c>
      <c r="AQ125" s="123">
        <v>0</v>
      </c>
      <c r="AR125" s="431"/>
      <c r="AS125" s="432"/>
      <c r="AT125" s="121"/>
      <c r="AU125" s="121"/>
      <c r="AV125" s="155"/>
    </row>
    <row r="126" spans="1:48" s="31" customFormat="1" ht="27.75" customHeight="1">
      <c r="A126" s="430"/>
      <c r="B126" s="430"/>
      <c r="C126" s="430"/>
      <c r="D126" s="143" t="s">
        <v>469</v>
      </c>
      <c r="E126" s="123">
        <f>H126+K126+N126+Q126+T126+W126+Z126+AC126+AF126+AI126+AL126+AO126</f>
        <v>0</v>
      </c>
      <c r="F126" s="123">
        <f>I126+L126+O126+R126+U126+X126+AA126+AD126+AG126+AJ126+AM126+AP126</f>
        <v>0</v>
      </c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3">
        <v>0</v>
      </c>
      <c r="O126" s="123">
        <v>0</v>
      </c>
      <c r="P126" s="123">
        <v>0</v>
      </c>
      <c r="Q126" s="123"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17">
        <v>0</v>
      </c>
      <c r="Z126" s="123">
        <v>0</v>
      </c>
      <c r="AA126" s="123">
        <v>0</v>
      </c>
      <c r="AB126" s="117">
        <v>0</v>
      </c>
      <c r="AC126" s="123">
        <v>0</v>
      </c>
      <c r="AD126" s="123">
        <v>0</v>
      </c>
      <c r="AE126" s="117">
        <v>0</v>
      </c>
      <c r="AF126" s="123">
        <v>0</v>
      </c>
      <c r="AG126" s="123">
        <v>0</v>
      </c>
      <c r="AH126" s="123">
        <v>0</v>
      </c>
      <c r="AI126" s="123">
        <v>0</v>
      </c>
      <c r="AJ126" s="123">
        <v>0</v>
      </c>
      <c r="AK126" s="123">
        <v>0</v>
      </c>
      <c r="AL126" s="123">
        <v>0</v>
      </c>
      <c r="AM126" s="123">
        <v>0</v>
      </c>
      <c r="AN126" s="117">
        <v>0</v>
      </c>
      <c r="AO126" s="123">
        <v>0</v>
      </c>
      <c r="AP126" s="123">
        <v>0</v>
      </c>
      <c r="AQ126" s="123">
        <v>0</v>
      </c>
      <c r="AR126" s="431"/>
      <c r="AS126" s="432"/>
      <c r="AT126" s="121"/>
      <c r="AU126" s="121"/>
      <c r="AV126" s="155"/>
    </row>
    <row r="127" spans="1:48" s="31" customFormat="1" ht="12.75" customHeight="1">
      <c r="A127" s="430" t="s">
        <v>500</v>
      </c>
      <c r="B127" s="430"/>
      <c r="C127" s="430"/>
      <c r="D127" s="143" t="s">
        <v>444</v>
      </c>
      <c r="E127" s="123">
        <f>SUM(E128:E130)</f>
        <v>7352</v>
      </c>
      <c r="F127" s="123">
        <f t="shared" ref="F127" si="263">SUM(F128:F130)</f>
        <v>6898.6</v>
      </c>
      <c r="G127" s="123">
        <f t="shared" ref="G127:G129" si="264">F127/E127*100</f>
        <v>93.832970620239394</v>
      </c>
      <c r="H127" s="123">
        <f t="shared" ref="H127:I127" si="265">SUM(H128:H130)</f>
        <v>0</v>
      </c>
      <c r="I127" s="123">
        <f t="shared" si="265"/>
        <v>0</v>
      </c>
      <c r="J127" s="123">
        <v>0</v>
      </c>
      <c r="K127" s="123">
        <f t="shared" ref="K127:L127" si="266">SUM(K128:K130)</f>
        <v>0</v>
      </c>
      <c r="L127" s="123">
        <f t="shared" si="266"/>
        <v>0</v>
      </c>
      <c r="M127" s="123">
        <v>0</v>
      </c>
      <c r="N127" s="123">
        <f t="shared" ref="N127:O127" si="267">SUM(N128:N130)</f>
        <v>6.5</v>
      </c>
      <c r="O127" s="123">
        <f t="shared" si="267"/>
        <v>6.5</v>
      </c>
      <c r="P127" s="123">
        <f>O127/N127*100</f>
        <v>100</v>
      </c>
      <c r="Q127" s="123">
        <f t="shared" ref="Q127:R127" si="268">SUM(Q128:Q130)</f>
        <v>1994.3</v>
      </c>
      <c r="R127" s="123">
        <f t="shared" si="268"/>
        <v>1994.3</v>
      </c>
      <c r="S127" s="123">
        <f>R127/Q127*100</f>
        <v>100</v>
      </c>
      <c r="T127" s="123">
        <f t="shared" ref="T127:U127" si="269">SUM(T128:T130)</f>
        <v>503.2</v>
      </c>
      <c r="U127" s="123">
        <f t="shared" si="269"/>
        <v>503.2</v>
      </c>
      <c r="V127" s="123">
        <f>U127/T127*100</f>
        <v>100</v>
      </c>
      <c r="W127" s="123">
        <f t="shared" ref="W127:AA127" si="270">SUM(W128:W130)</f>
        <v>481.1</v>
      </c>
      <c r="X127" s="123">
        <f t="shared" si="270"/>
        <v>390.2</v>
      </c>
      <c r="Y127" s="123">
        <f t="shared" si="270"/>
        <v>81.105799210143417</v>
      </c>
      <c r="Z127" s="123">
        <f t="shared" si="270"/>
        <v>347.1</v>
      </c>
      <c r="AA127" s="123">
        <f t="shared" si="270"/>
        <v>347.1</v>
      </c>
      <c r="AB127" s="117">
        <f t="shared" ref="AB127:AB129" si="271">AA127/Z127*100</f>
        <v>100</v>
      </c>
      <c r="AC127" s="123">
        <f t="shared" ref="AC127:AD127" si="272">SUM(AC128:AC130)</f>
        <v>79.5</v>
      </c>
      <c r="AD127" s="123">
        <f t="shared" si="272"/>
        <v>79.5</v>
      </c>
      <c r="AE127" s="123">
        <f t="shared" ref="AE127:AE129" si="273">AD127/AC127*100</f>
        <v>100</v>
      </c>
      <c r="AF127" s="123">
        <f t="shared" ref="AF127:AG127" si="274">SUM(AF128:AF130)</f>
        <v>1713.5</v>
      </c>
      <c r="AG127" s="123">
        <f t="shared" si="274"/>
        <v>1516.7</v>
      </c>
      <c r="AH127" s="123">
        <f t="shared" ref="AH127:AH129" si="275">AG127/AF127*100</f>
        <v>88.514735920630301</v>
      </c>
      <c r="AI127" s="123">
        <f t="shared" ref="AI127:AQ127" si="276">SUM(AI128:AI130)</f>
        <v>408</v>
      </c>
      <c r="AJ127" s="123">
        <f t="shared" si="276"/>
        <v>408</v>
      </c>
      <c r="AK127" s="123">
        <f t="shared" si="276"/>
        <v>100</v>
      </c>
      <c r="AL127" s="123">
        <f t="shared" si="276"/>
        <v>446.4</v>
      </c>
      <c r="AM127" s="123">
        <f t="shared" si="276"/>
        <v>446.6</v>
      </c>
      <c r="AN127" s="123">
        <f t="shared" si="276"/>
        <v>100.04480286738354</v>
      </c>
      <c r="AO127" s="123">
        <f t="shared" si="276"/>
        <v>1372.4</v>
      </c>
      <c r="AP127" s="123">
        <f t="shared" si="276"/>
        <v>1206.5</v>
      </c>
      <c r="AQ127" s="123">
        <f t="shared" si="276"/>
        <v>87.911687554648793</v>
      </c>
      <c r="AR127" s="431"/>
      <c r="AS127" s="432"/>
      <c r="AT127" s="121"/>
      <c r="AU127" s="121"/>
      <c r="AV127" s="155"/>
    </row>
    <row r="128" spans="1:48" s="31" customFormat="1" ht="48">
      <c r="A128" s="430"/>
      <c r="B128" s="430"/>
      <c r="C128" s="430"/>
      <c r="D128" s="225" t="s">
        <v>442</v>
      </c>
      <c r="E128" s="123">
        <f>H128+K128+N128+Q128+T128+W128+Z128+AC128+AF128+AI128+AL128+AO128</f>
        <v>0</v>
      </c>
      <c r="F128" s="123">
        <f>I128+L128+O128+R128+U128+X128+AA128+AD128+AG128+AJ128+AM128+AP128</f>
        <v>0</v>
      </c>
      <c r="G128" s="123">
        <v>0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3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  <c r="U128" s="123">
        <v>0</v>
      </c>
      <c r="V128" s="117">
        <v>0</v>
      </c>
      <c r="W128" s="123">
        <v>0</v>
      </c>
      <c r="X128" s="123">
        <v>0</v>
      </c>
      <c r="Y128" s="117">
        <v>0</v>
      </c>
      <c r="Z128" s="123">
        <v>0</v>
      </c>
      <c r="AA128" s="123">
        <v>0</v>
      </c>
      <c r="AB128" s="117">
        <v>0</v>
      </c>
      <c r="AC128" s="123">
        <v>0</v>
      </c>
      <c r="AD128" s="123">
        <v>0</v>
      </c>
      <c r="AE128" s="117">
        <v>0</v>
      </c>
      <c r="AF128" s="123">
        <v>0</v>
      </c>
      <c r="AG128" s="123">
        <v>0</v>
      </c>
      <c r="AH128" s="123">
        <v>0</v>
      </c>
      <c r="AI128" s="123">
        <v>0</v>
      </c>
      <c r="AJ128" s="123">
        <v>0</v>
      </c>
      <c r="AK128" s="249">
        <v>0</v>
      </c>
      <c r="AL128" s="123">
        <v>0</v>
      </c>
      <c r="AM128" s="123">
        <v>0</v>
      </c>
      <c r="AN128" s="249">
        <v>0</v>
      </c>
      <c r="AO128" s="123">
        <v>0</v>
      </c>
      <c r="AP128" s="123">
        <v>0</v>
      </c>
      <c r="AQ128" s="123">
        <v>0</v>
      </c>
      <c r="AR128" s="431"/>
      <c r="AS128" s="432"/>
      <c r="AT128" s="121"/>
      <c r="AU128" s="121"/>
      <c r="AV128" s="155"/>
    </row>
    <row r="129" spans="1:48" s="31" customFormat="1" ht="23.25" customHeight="1">
      <c r="A129" s="430"/>
      <c r="B129" s="430"/>
      <c r="C129" s="430"/>
      <c r="D129" s="225" t="s">
        <v>463</v>
      </c>
      <c r="E129" s="123">
        <f t="shared" ref="E129:E130" si="277">H129+K129+N129+Q129+T129+W129+Z129+AC129+AF129+AI129+AL129+AO129</f>
        <v>7352</v>
      </c>
      <c r="F129" s="123">
        <f t="shared" ref="F129:F130" si="278">I129+L129+O129+R129+U129+X129+AA129+AD129+AG129+AJ129+AM129+AP129</f>
        <v>6898.6</v>
      </c>
      <c r="G129" s="123">
        <f t="shared" si="264"/>
        <v>93.832970620239394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6.5</v>
      </c>
      <c r="O129" s="123">
        <v>6.5</v>
      </c>
      <c r="P129" s="123">
        <f t="shared" ref="P129" si="279">O129/N129*100</f>
        <v>100</v>
      </c>
      <c r="Q129" s="123">
        <v>1994.3</v>
      </c>
      <c r="R129" s="123">
        <v>1994.3</v>
      </c>
      <c r="S129" s="123">
        <f t="shared" ref="S129" si="280">R129/Q129*100</f>
        <v>100</v>
      </c>
      <c r="T129" s="123">
        <v>503.2</v>
      </c>
      <c r="U129" s="123">
        <v>503.2</v>
      </c>
      <c r="V129" s="117">
        <f t="shared" ref="V129" si="281">U129/T129*100</f>
        <v>100</v>
      </c>
      <c r="W129" s="123">
        <v>481.1</v>
      </c>
      <c r="X129" s="123">
        <v>390.2</v>
      </c>
      <c r="Y129" s="117">
        <f t="shared" ref="Y129" si="282">X129/W129*100</f>
        <v>81.105799210143417</v>
      </c>
      <c r="Z129" s="123">
        <v>347.1</v>
      </c>
      <c r="AA129" s="123">
        <v>347.1</v>
      </c>
      <c r="AB129" s="117">
        <f t="shared" si="271"/>
        <v>100</v>
      </c>
      <c r="AC129" s="123">
        <v>79.5</v>
      </c>
      <c r="AD129" s="123">
        <v>79.5</v>
      </c>
      <c r="AE129" s="117">
        <f t="shared" si="273"/>
        <v>100</v>
      </c>
      <c r="AF129" s="123">
        <v>1713.5</v>
      </c>
      <c r="AG129" s="123">
        <v>1516.7</v>
      </c>
      <c r="AH129" s="123">
        <f t="shared" si="275"/>
        <v>88.514735920630301</v>
      </c>
      <c r="AI129" s="123">
        <v>408</v>
      </c>
      <c r="AJ129" s="123">
        <v>408</v>
      </c>
      <c r="AK129" s="123">
        <f>AJ129/AI129*100</f>
        <v>100</v>
      </c>
      <c r="AL129" s="123">
        <v>446.4</v>
      </c>
      <c r="AM129" s="123">
        <v>446.6</v>
      </c>
      <c r="AN129" s="117">
        <f>AM129/AL129*100</f>
        <v>100.04480286738354</v>
      </c>
      <c r="AO129" s="123">
        <v>1372.4</v>
      </c>
      <c r="AP129" s="123">
        <v>1206.5</v>
      </c>
      <c r="AQ129" s="123">
        <f>AP129/AO129*100</f>
        <v>87.911687554648793</v>
      </c>
      <c r="AR129" s="431"/>
      <c r="AS129" s="432"/>
      <c r="AT129" s="121"/>
      <c r="AU129" s="121"/>
      <c r="AV129" s="155"/>
    </row>
    <row r="130" spans="1:48" s="31" customFormat="1" ht="30.75" customHeight="1">
      <c r="A130" s="430"/>
      <c r="B130" s="430"/>
      <c r="C130" s="430"/>
      <c r="D130" s="143" t="s">
        <v>257</v>
      </c>
      <c r="E130" s="123">
        <f t="shared" si="277"/>
        <v>0</v>
      </c>
      <c r="F130" s="123">
        <f t="shared" si="278"/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17">
        <v>0</v>
      </c>
      <c r="W130" s="123">
        <v>0</v>
      </c>
      <c r="X130" s="123">
        <v>0</v>
      </c>
      <c r="Y130" s="117">
        <v>0</v>
      </c>
      <c r="Z130" s="123">
        <v>0</v>
      </c>
      <c r="AA130" s="123">
        <v>0</v>
      </c>
      <c r="AB130" s="117">
        <v>0</v>
      </c>
      <c r="AC130" s="123">
        <v>0</v>
      </c>
      <c r="AD130" s="123">
        <v>0</v>
      </c>
      <c r="AE130" s="117">
        <v>0</v>
      </c>
      <c r="AF130" s="123">
        <v>0</v>
      </c>
      <c r="AG130" s="123">
        <v>0</v>
      </c>
      <c r="AH130" s="123">
        <v>0</v>
      </c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17">
        <v>0</v>
      </c>
      <c r="AO130" s="123">
        <v>0</v>
      </c>
      <c r="AP130" s="123">
        <v>0</v>
      </c>
      <c r="AQ130" s="123">
        <v>0</v>
      </c>
      <c r="AR130" s="431"/>
      <c r="AS130" s="432"/>
      <c r="AT130" s="121"/>
      <c r="AU130" s="121"/>
      <c r="AV130" s="155"/>
    </row>
    <row r="131" spans="1:48" s="31" customFormat="1" ht="27.75" customHeight="1">
      <c r="A131" s="430"/>
      <c r="B131" s="430"/>
      <c r="C131" s="430"/>
      <c r="D131" s="143" t="s">
        <v>469</v>
      </c>
      <c r="E131" s="123">
        <f>H131+K131+N131+Q131+T131+W131+Z131+AC131+AF131+AI131+AL131+AO131</f>
        <v>0</v>
      </c>
      <c r="F131" s="123">
        <f>I131+L131+O131+R131+U131+X131+AA131+AD131+AG131+AJ131+AM131+AP131</f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3">
        <v>0</v>
      </c>
      <c r="U131" s="123">
        <v>0</v>
      </c>
      <c r="V131" s="123">
        <v>0</v>
      </c>
      <c r="W131" s="123">
        <v>0</v>
      </c>
      <c r="X131" s="123">
        <v>0</v>
      </c>
      <c r="Y131" s="117">
        <v>0</v>
      </c>
      <c r="Z131" s="123">
        <v>0</v>
      </c>
      <c r="AA131" s="123">
        <v>0</v>
      </c>
      <c r="AB131" s="117">
        <v>0</v>
      </c>
      <c r="AC131" s="123">
        <v>0</v>
      </c>
      <c r="AD131" s="123">
        <v>0</v>
      </c>
      <c r="AE131" s="117">
        <v>0</v>
      </c>
      <c r="AF131" s="123">
        <v>0</v>
      </c>
      <c r="AG131" s="123">
        <v>0</v>
      </c>
      <c r="AH131" s="123">
        <v>0</v>
      </c>
      <c r="AI131" s="123">
        <v>0</v>
      </c>
      <c r="AJ131" s="123">
        <v>0</v>
      </c>
      <c r="AK131" s="123">
        <v>0</v>
      </c>
      <c r="AL131" s="123">
        <v>0</v>
      </c>
      <c r="AM131" s="123">
        <v>0</v>
      </c>
      <c r="AN131" s="117">
        <v>0</v>
      </c>
      <c r="AO131" s="123">
        <v>0</v>
      </c>
      <c r="AP131" s="123">
        <v>0</v>
      </c>
      <c r="AQ131" s="123">
        <v>0</v>
      </c>
      <c r="AR131" s="431"/>
      <c r="AS131" s="432"/>
      <c r="AT131" s="121"/>
      <c r="AU131" s="121"/>
      <c r="AV131" s="155"/>
    </row>
    <row r="132" spans="1:48" s="31" customFormat="1" ht="12.75" customHeight="1">
      <c r="A132" s="430" t="s">
        <v>501</v>
      </c>
      <c r="B132" s="430"/>
      <c r="C132" s="430"/>
      <c r="D132" s="143" t="s">
        <v>444</v>
      </c>
      <c r="E132" s="123">
        <f>SUM(E133:E135)</f>
        <v>37338.700000000004</v>
      </c>
      <c r="F132" s="123">
        <f t="shared" ref="F132" si="283">SUM(F133:F135)</f>
        <v>37338.6</v>
      </c>
      <c r="G132" s="123">
        <f>F132/E132*100</f>
        <v>99.999732181356066</v>
      </c>
      <c r="H132" s="132">
        <f>H133+H134+H135</f>
        <v>404.40000000000003</v>
      </c>
      <c r="I132" s="132">
        <f>I133+I134+I135</f>
        <v>404.4</v>
      </c>
      <c r="J132" s="123">
        <f t="shared" ref="J132" si="284">I132/H132*100</f>
        <v>99.999999999999986</v>
      </c>
      <c r="K132" s="132">
        <f>K133+K134+K135</f>
        <v>2571.3000000000002</v>
      </c>
      <c r="L132" s="132">
        <f>L133+L134+L135</f>
        <v>2541</v>
      </c>
      <c r="M132" s="132">
        <f>L132/K132*100</f>
        <v>98.821607747054003</v>
      </c>
      <c r="N132" s="132">
        <f>N133+N134+N135</f>
        <v>2207.3000000000002</v>
      </c>
      <c r="O132" s="132">
        <f>O133+O134+O135</f>
        <v>2200.5</v>
      </c>
      <c r="P132" s="123">
        <f t="shared" ref="P132" si="285">O132/N132*100</f>
        <v>99.691931318805771</v>
      </c>
      <c r="Q132" s="132">
        <f>Q133+Q134+Q135</f>
        <v>3345.2</v>
      </c>
      <c r="R132" s="132">
        <f>R133+R134+R135</f>
        <v>3327</v>
      </c>
      <c r="S132" s="132">
        <f>R132/Q132*100</f>
        <v>99.455936864761455</v>
      </c>
      <c r="T132" s="132">
        <f t="shared" ref="T132:U132" si="286">T133+T134+T135</f>
        <v>2458.9</v>
      </c>
      <c r="U132" s="132">
        <f t="shared" si="286"/>
        <v>2397.6</v>
      </c>
      <c r="V132" s="132">
        <f>U132/T132*100</f>
        <v>97.507015332059041</v>
      </c>
      <c r="W132" s="132">
        <f t="shared" ref="W132:X132" si="287">W133+W134+W135</f>
        <v>3293.9</v>
      </c>
      <c r="X132" s="132">
        <f t="shared" si="287"/>
        <v>2840.9</v>
      </c>
      <c r="Y132" s="132">
        <f>X132/W132*100</f>
        <v>86.247305625550268</v>
      </c>
      <c r="Z132" s="132">
        <f t="shared" ref="Z132:AA132" si="288">Z133+Z134+Z135</f>
        <v>4483.1000000000004</v>
      </c>
      <c r="AA132" s="132">
        <f t="shared" si="288"/>
        <v>3985.4</v>
      </c>
      <c r="AB132" s="132">
        <f>AA132/Z132*100</f>
        <v>88.898306975084196</v>
      </c>
      <c r="AC132" s="132">
        <f t="shared" ref="AC132:AD132" si="289">AC133+AC134+AC135</f>
        <v>3136.7</v>
      </c>
      <c r="AD132" s="132">
        <f t="shared" si="289"/>
        <v>2816.7999999999997</v>
      </c>
      <c r="AE132" s="132">
        <f>AD132/AC132*100</f>
        <v>89.801383619727744</v>
      </c>
      <c r="AF132" s="132">
        <f t="shared" ref="AF132:AG132" si="290">AF133+AF134+AF135</f>
        <v>2242</v>
      </c>
      <c r="AG132" s="132">
        <f t="shared" si="290"/>
        <v>1978.8999999999999</v>
      </c>
      <c r="AH132" s="117">
        <f>AG132/AF132*100</f>
        <v>88.264942016057091</v>
      </c>
      <c r="AI132" s="132">
        <f t="shared" ref="AI132:AJ132" si="291">AI133+AI134+AI135</f>
        <v>2664.1000000000004</v>
      </c>
      <c r="AJ132" s="132">
        <f t="shared" si="291"/>
        <v>3757.2000000000003</v>
      </c>
      <c r="AK132" s="117">
        <f>AJ132/AI132*100</f>
        <v>141.03074208926088</v>
      </c>
      <c r="AL132" s="132">
        <f t="shared" ref="AL132:AM132" si="292">AL133+AL134+AL135</f>
        <v>2434</v>
      </c>
      <c r="AM132" s="132">
        <f t="shared" si="292"/>
        <v>2655.2</v>
      </c>
      <c r="AN132" s="117">
        <f>AM132/AL132*100</f>
        <v>109.08792111750205</v>
      </c>
      <c r="AO132" s="132">
        <f t="shared" ref="AO132:AP132" si="293">AO133+AO134+AO135</f>
        <v>8097.8</v>
      </c>
      <c r="AP132" s="132">
        <f t="shared" si="293"/>
        <v>8433.7000000000007</v>
      </c>
      <c r="AQ132" s="117">
        <f>AP132/AO132*100</f>
        <v>104.14804020845168</v>
      </c>
      <c r="AR132" s="431"/>
      <c r="AS132" s="432"/>
      <c r="AT132" s="121"/>
      <c r="AU132" s="121"/>
      <c r="AV132" s="155"/>
    </row>
    <row r="133" spans="1:48" s="31" customFormat="1" ht="48">
      <c r="A133" s="430"/>
      <c r="B133" s="430"/>
      <c r="C133" s="430"/>
      <c r="D133" s="225" t="s">
        <v>442</v>
      </c>
      <c r="E133" s="123">
        <f>H133+K133+N133+Q133+T133+W133+Z133+AC133+AF133+AI133+AL133+AO133</f>
        <v>34672.400000000001</v>
      </c>
      <c r="F133" s="123">
        <f>I133+L133+O133+R133+U133+X133+AA133+AD133+AG133+AJ133+AM133+AP133</f>
        <v>34672.400000000001</v>
      </c>
      <c r="G133" s="123">
        <f>F133/E133*100</f>
        <v>100</v>
      </c>
      <c r="H133" s="123">
        <v>0</v>
      </c>
      <c r="I133" s="123">
        <v>0</v>
      </c>
      <c r="J133" s="123">
        <v>0</v>
      </c>
      <c r="K133" s="150">
        <f>1400+608</f>
        <v>2008</v>
      </c>
      <c r="L133" s="123">
        <v>1977.7</v>
      </c>
      <c r="M133" s="138">
        <f t="shared" ref="M133:M134" si="294">L133/K133*100</f>
        <v>98.491035856573703</v>
      </c>
      <c r="N133" s="123">
        <f>1600+585</f>
        <v>2185</v>
      </c>
      <c r="O133" s="123">
        <v>2178.1999999999998</v>
      </c>
      <c r="P133" s="123">
        <f>O133/N133*100</f>
        <v>99.688787185354684</v>
      </c>
      <c r="Q133" s="123">
        <f>2400+902</f>
        <v>3302</v>
      </c>
      <c r="R133" s="123">
        <v>3283.8</v>
      </c>
      <c r="S133" s="132">
        <f t="shared" ref="S133:S134" si="295">R133/Q133*100</f>
        <v>99.448818897637807</v>
      </c>
      <c r="T133" s="117">
        <f>1400+552</f>
        <v>1952</v>
      </c>
      <c r="U133" s="117">
        <v>1890.7</v>
      </c>
      <c r="V133" s="132">
        <f t="shared" ref="V133:V134" si="296">U133/T133*100</f>
        <v>96.859631147540981</v>
      </c>
      <c r="W133" s="117">
        <f>2350+909</f>
        <v>3259</v>
      </c>
      <c r="X133" s="117">
        <v>2806</v>
      </c>
      <c r="Y133" s="117">
        <f>X133/W133*100</f>
        <v>86.100030684258982</v>
      </c>
      <c r="Z133" s="117">
        <f>2850+1369</f>
        <v>4219</v>
      </c>
      <c r="AA133" s="117">
        <v>3695.6</v>
      </c>
      <c r="AB133" s="117">
        <f>AA133/Z133*100</f>
        <v>87.594216639013979</v>
      </c>
      <c r="AC133" s="117">
        <f>1965+900</f>
        <v>2865</v>
      </c>
      <c r="AD133" s="117">
        <v>2545.1</v>
      </c>
      <c r="AE133" s="117">
        <f>AD133/AC133*100</f>
        <v>88.83420593368237</v>
      </c>
      <c r="AF133" s="117">
        <f>1700+542</f>
        <v>2242</v>
      </c>
      <c r="AG133" s="117">
        <v>2013.1</v>
      </c>
      <c r="AH133" s="117">
        <f>AG133/AF133*100</f>
        <v>89.790365744870655</v>
      </c>
      <c r="AI133" s="123">
        <f>1900+688.8</f>
        <v>2588.8000000000002</v>
      </c>
      <c r="AJ133" s="123">
        <v>3681.9</v>
      </c>
      <c r="AK133" s="123">
        <f>AJ133/AI133*100</f>
        <v>142.22419653893695</v>
      </c>
      <c r="AL133" s="117">
        <f>1600+534</f>
        <v>2134</v>
      </c>
      <c r="AM133" s="117">
        <v>2355.1999999999998</v>
      </c>
      <c r="AN133" s="117">
        <f>AM133/AL133*100</f>
        <v>110.36551077788191</v>
      </c>
      <c r="AO133" s="123">
        <f>1800+4503.3+1614.3</f>
        <v>7917.6</v>
      </c>
      <c r="AP133" s="123">
        <v>8245.1</v>
      </c>
      <c r="AQ133" s="123">
        <f>AP133/AO133*100</f>
        <v>104.13635445084368</v>
      </c>
      <c r="AR133" s="431"/>
      <c r="AS133" s="432"/>
      <c r="AT133" s="121"/>
      <c r="AU133" s="121"/>
      <c r="AV133" s="155"/>
    </row>
    <row r="134" spans="1:48" s="31" customFormat="1" ht="23.25" customHeight="1">
      <c r="A134" s="430"/>
      <c r="B134" s="430"/>
      <c r="C134" s="430"/>
      <c r="D134" s="225" t="s">
        <v>463</v>
      </c>
      <c r="E134" s="123">
        <f t="shared" ref="E134:E135" si="297">H134+K134+N134+Q134+T134+W134+Z134+AC134+AF134+AI134+AL134+AO134</f>
        <v>2666.2999999999997</v>
      </c>
      <c r="F134" s="123">
        <f t="shared" ref="F134:F135" si="298">I134+L134+O134+R134+U134+X134+AA134+AD134+AG134+AJ134+AM134+AP134</f>
        <v>2666.2000000000003</v>
      </c>
      <c r="G134" s="123">
        <f>F134/E134*100</f>
        <v>99.996249484304116</v>
      </c>
      <c r="H134" s="123">
        <f>590-22.3-163.3</f>
        <v>404.40000000000003</v>
      </c>
      <c r="I134" s="123">
        <v>404.4</v>
      </c>
      <c r="J134" s="123">
        <f t="shared" ref="J134" si="299">I134/H134*100</f>
        <v>99.999999999999986</v>
      </c>
      <c r="K134" s="150">
        <f>400+163.3</f>
        <v>563.29999999999995</v>
      </c>
      <c r="L134" s="123">
        <v>563.29999999999995</v>
      </c>
      <c r="M134" s="138">
        <f t="shared" si="294"/>
        <v>100</v>
      </c>
      <c r="N134" s="123">
        <v>22.3</v>
      </c>
      <c r="O134" s="123">
        <v>22.3</v>
      </c>
      <c r="P134" s="123">
        <f>O134/N134*100</f>
        <v>100</v>
      </c>
      <c r="Q134" s="123">
        <v>43.2</v>
      </c>
      <c r="R134" s="123">
        <v>43.2</v>
      </c>
      <c r="S134" s="132">
        <f t="shared" si="295"/>
        <v>100</v>
      </c>
      <c r="T134" s="117">
        <v>506.9</v>
      </c>
      <c r="U134" s="117">
        <v>506.9</v>
      </c>
      <c r="V134" s="132">
        <f t="shared" si="296"/>
        <v>100</v>
      </c>
      <c r="W134" s="117">
        <v>34.9</v>
      </c>
      <c r="X134" s="117">
        <v>34.9</v>
      </c>
      <c r="Y134" s="117">
        <f>X134/W134*100</f>
        <v>100</v>
      </c>
      <c r="Z134" s="117">
        <f>150+100+14.1</f>
        <v>264.10000000000002</v>
      </c>
      <c r="AA134" s="117">
        <v>289.8</v>
      </c>
      <c r="AB134" s="117">
        <f>AA134/Z134*100</f>
        <v>109.73116243847028</v>
      </c>
      <c r="AC134" s="117">
        <f>435-49.2-100-14.1</f>
        <v>271.7</v>
      </c>
      <c r="AD134" s="117">
        <v>271.7</v>
      </c>
      <c r="AE134" s="117">
        <f>AD134/AC134*100</f>
        <v>100</v>
      </c>
      <c r="AF134" s="117">
        <v>0</v>
      </c>
      <c r="AG134" s="117">
        <v>-34.200000000000003</v>
      </c>
      <c r="AH134" s="117">
        <v>0</v>
      </c>
      <c r="AI134" s="123">
        <v>75.3</v>
      </c>
      <c r="AJ134" s="123">
        <v>75.3</v>
      </c>
      <c r="AK134" s="123">
        <f>AJ134/AI134*100</f>
        <v>100</v>
      </c>
      <c r="AL134" s="117">
        <v>300</v>
      </c>
      <c r="AM134" s="117">
        <v>300</v>
      </c>
      <c r="AN134" s="117">
        <f>AM134/AL134*100</f>
        <v>100</v>
      </c>
      <c r="AO134" s="123">
        <v>180.2</v>
      </c>
      <c r="AP134" s="123">
        <v>188.6</v>
      </c>
      <c r="AQ134" s="123">
        <f>AP134/AO134*100</f>
        <v>104.661487236404</v>
      </c>
      <c r="AR134" s="431"/>
      <c r="AS134" s="432"/>
      <c r="AT134" s="121"/>
      <c r="AU134" s="121"/>
      <c r="AV134" s="155"/>
    </row>
    <row r="135" spans="1:48" s="31" customFormat="1" ht="30.75" customHeight="1">
      <c r="A135" s="430"/>
      <c r="B135" s="430"/>
      <c r="C135" s="430"/>
      <c r="D135" s="143" t="s">
        <v>257</v>
      </c>
      <c r="E135" s="123">
        <f t="shared" si="297"/>
        <v>0</v>
      </c>
      <c r="F135" s="123">
        <f t="shared" si="298"/>
        <v>0</v>
      </c>
      <c r="G135" s="123">
        <v>0</v>
      </c>
      <c r="H135" s="123">
        <v>0</v>
      </c>
      <c r="I135" s="123">
        <v>0</v>
      </c>
      <c r="J135" s="123">
        <v>0</v>
      </c>
      <c r="K135" s="150">
        <v>0</v>
      </c>
      <c r="L135" s="123">
        <v>0</v>
      </c>
      <c r="M135" s="123">
        <v>0</v>
      </c>
      <c r="N135" s="123">
        <v>0</v>
      </c>
      <c r="O135" s="123">
        <v>0</v>
      </c>
      <c r="P135" s="123">
        <v>0</v>
      </c>
      <c r="Q135" s="123">
        <v>0</v>
      </c>
      <c r="R135" s="123">
        <v>0</v>
      </c>
      <c r="S135" s="138">
        <v>0</v>
      </c>
      <c r="T135" s="117">
        <v>0</v>
      </c>
      <c r="U135" s="117">
        <v>0</v>
      </c>
      <c r="V135" s="117">
        <v>0</v>
      </c>
      <c r="W135" s="117">
        <v>0</v>
      </c>
      <c r="X135" s="117">
        <v>0</v>
      </c>
      <c r="Y135" s="117">
        <v>0</v>
      </c>
      <c r="Z135" s="117">
        <v>0</v>
      </c>
      <c r="AA135" s="117">
        <v>0</v>
      </c>
      <c r="AB135" s="117">
        <v>0</v>
      </c>
      <c r="AC135" s="117">
        <v>0</v>
      </c>
      <c r="AD135" s="117">
        <v>0</v>
      </c>
      <c r="AE135" s="117">
        <v>0</v>
      </c>
      <c r="AF135" s="117">
        <v>0</v>
      </c>
      <c r="AG135" s="117">
        <v>0</v>
      </c>
      <c r="AH135" s="117">
        <v>0</v>
      </c>
      <c r="AI135" s="123">
        <v>0</v>
      </c>
      <c r="AJ135" s="123">
        <v>0</v>
      </c>
      <c r="AK135" s="123">
        <v>0</v>
      </c>
      <c r="AL135" s="117">
        <v>0</v>
      </c>
      <c r="AM135" s="117">
        <v>0</v>
      </c>
      <c r="AN135" s="117">
        <v>0</v>
      </c>
      <c r="AO135" s="123">
        <v>0</v>
      </c>
      <c r="AP135" s="123">
        <v>0</v>
      </c>
      <c r="AQ135" s="123">
        <v>0</v>
      </c>
      <c r="AR135" s="431"/>
      <c r="AS135" s="432"/>
      <c r="AT135" s="121"/>
      <c r="AU135" s="121"/>
      <c r="AV135" s="155"/>
    </row>
    <row r="136" spans="1:48" s="31" customFormat="1" ht="27.75" customHeight="1">
      <c r="A136" s="430"/>
      <c r="B136" s="430"/>
      <c r="C136" s="430"/>
      <c r="D136" s="143" t="s">
        <v>469</v>
      </c>
      <c r="E136" s="123">
        <f>H136+K136+N136+Q136+T136+W136+Z136+AC136+AF136+AI136+AL136+AO136</f>
        <v>0</v>
      </c>
      <c r="F136" s="123">
        <f>I136+L136+O136+R136+U136+X136+AA136+AD136+AG136+AJ136+AM136+AP136</f>
        <v>0</v>
      </c>
      <c r="G136" s="123">
        <v>0</v>
      </c>
      <c r="H136" s="123">
        <v>0</v>
      </c>
      <c r="I136" s="123">
        <v>0</v>
      </c>
      <c r="J136" s="123">
        <v>0</v>
      </c>
      <c r="K136" s="150">
        <v>0</v>
      </c>
      <c r="L136" s="123">
        <v>0</v>
      </c>
      <c r="M136" s="123">
        <v>0</v>
      </c>
      <c r="N136" s="123">
        <v>0</v>
      </c>
      <c r="O136" s="123">
        <v>0</v>
      </c>
      <c r="P136" s="123">
        <v>0</v>
      </c>
      <c r="Q136" s="123">
        <v>0</v>
      </c>
      <c r="R136" s="123">
        <v>0</v>
      </c>
      <c r="S136" s="123">
        <v>0</v>
      </c>
      <c r="T136" s="117">
        <v>0</v>
      </c>
      <c r="U136" s="117">
        <v>0</v>
      </c>
      <c r="V136" s="123">
        <v>0</v>
      </c>
      <c r="W136" s="117">
        <v>0</v>
      </c>
      <c r="X136" s="117">
        <v>0</v>
      </c>
      <c r="Y136" s="117">
        <v>0</v>
      </c>
      <c r="Z136" s="117">
        <v>0</v>
      </c>
      <c r="AA136" s="117">
        <v>0</v>
      </c>
      <c r="AB136" s="117">
        <v>0</v>
      </c>
      <c r="AC136" s="117">
        <v>0</v>
      </c>
      <c r="AD136" s="117">
        <v>0</v>
      </c>
      <c r="AE136" s="117">
        <v>0</v>
      </c>
      <c r="AF136" s="117">
        <v>0</v>
      </c>
      <c r="AG136" s="117">
        <v>0</v>
      </c>
      <c r="AH136" s="123">
        <v>0</v>
      </c>
      <c r="AI136" s="123">
        <v>0</v>
      </c>
      <c r="AJ136" s="123">
        <v>0</v>
      </c>
      <c r="AK136" s="123">
        <v>0</v>
      </c>
      <c r="AL136" s="117">
        <v>0</v>
      </c>
      <c r="AM136" s="117">
        <v>0</v>
      </c>
      <c r="AN136" s="117">
        <v>0</v>
      </c>
      <c r="AO136" s="123">
        <v>0</v>
      </c>
      <c r="AP136" s="123">
        <v>0</v>
      </c>
      <c r="AQ136" s="123">
        <v>0</v>
      </c>
      <c r="AR136" s="431"/>
      <c r="AS136" s="432"/>
      <c r="AT136" s="121"/>
      <c r="AU136" s="121"/>
      <c r="AV136" s="155"/>
    </row>
    <row r="137" spans="1:48" s="31" customFormat="1" ht="12.75" customHeight="1">
      <c r="A137" s="430" t="s">
        <v>502</v>
      </c>
      <c r="B137" s="430"/>
      <c r="C137" s="430"/>
      <c r="D137" s="143" t="s">
        <v>444</v>
      </c>
      <c r="E137" s="123">
        <f>SUM(E138:E140)</f>
        <v>28.6</v>
      </c>
      <c r="F137" s="123">
        <f t="shared" ref="F137" si="300">SUM(F138:F140)</f>
        <v>28.6</v>
      </c>
      <c r="G137" s="123">
        <f t="shared" ref="G137:G139" si="301">F137/E137*100</f>
        <v>100</v>
      </c>
      <c r="H137" s="123">
        <f t="shared" ref="H137:I137" si="302">SUM(H138:H140)</f>
        <v>0</v>
      </c>
      <c r="I137" s="123">
        <f t="shared" si="302"/>
        <v>0</v>
      </c>
      <c r="J137" s="123">
        <v>0</v>
      </c>
      <c r="K137" s="123">
        <f t="shared" ref="K137:L137" si="303">SUM(K138:K140)</f>
        <v>0</v>
      </c>
      <c r="L137" s="123">
        <f t="shared" si="303"/>
        <v>0</v>
      </c>
      <c r="M137" s="123">
        <v>0</v>
      </c>
      <c r="N137" s="123">
        <f t="shared" ref="N137:O137" si="304">SUM(N138:N140)</f>
        <v>0</v>
      </c>
      <c r="O137" s="123">
        <f t="shared" si="304"/>
        <v>0</v>
      </c>
      <c r="P137" s="123">
        <v>0</v>
      </c>
      <c r="Q137" s="123">
        <f t="shared" ref="Q137:R137" si="305">SUM(Q138:Q140)</f>
        <v>0</v>
      </c>
      <c r="R137" s="123">
        <f t="shared" si="305"/>
        <v>0</v>
      </c>
      <c r="S137" s="123">
        <v>0</v>
      </c>
      <c r="T137" s="123">
        <f t="shared" ref="T137:U137" si="306">SUM(T138:T140)</f>
        <v>0</v>
      </c>
      <c r="U137" s="123">
        <f t="shared" si="306"/>
        <v>0</v>
      </c>
      <c r="V137" s="123">
        <v>0</v>
      </c>
      <c r="W137" s="123">
        <f t="shared" ref="W137:AA137" si="307">SUM(W138:W140)</f>
        <v>7.1999999999999993</v>
      </c>
      <c r="X137" s="123">
        <f t="shared" si="307"/>
        <v>6.9</v>
      </c>
      <c r="Y137" s="117">
        <f t="shared" ref="Y137:Y139" si="308">X137/W137*100</f>
        <v>95.833333333333343</v>
      </c>
      <c r="Z137" s="123">
        <f t="shared" si="307"/>
        <v>7.7</v>
      </c>
      <c r="AA137" s="123">
        <f t="shared" si="307"/>
        <v>7.8999999999999995</v>
      </c>
      <c r="AB137" s="117">
        <f>AA137/Z137*100</f>
        <v>102.59740259740259</v>
      </c>
      <c r="AC137" s="123">
        <f t="shared" ref="AC137:AD137" si="309">SUM(AC138:AC140)</f>
        <v>6.5</v>
      </c>
      <c r="AD137" s="123">
        <f t="shared" si="309"/>
        <v>6.5</v>
      </c>
      <c r="AE137" s="123">
        <f t="shared" ref="AE137:AE139" si="310">AD137/AC137*100</f>
        <v>100</v>
      </c>
      <c r="AF137" s="123">
        <f t="shared" ref="AF137:AG137" si="311">SUM(AF138:AF140)</f>
        <v>5.9</v>
      </c>
      <c r="AG137" s="123">
        <f t="shared" si="311"/>
        <v>6</v>
      </c>
      <c r="AH137" s="123">
        <f t="shared" ref="AH137:AH138" si="312">AG137/AF137*100</f>
        <v>101.69491525423729</v>
      </c>
      <c r="AI137" s="123">
        <f t="shared" ref="AI137:AP137" si="313">SUM(AI138:AI140)</f>
        <v>0</v>
      </c>
      <c r="AJ137" s="123">
        <f t="shared" si="313"/>
        <v>0</v>
      </c>
      <c r="AK137" s="123">
        <v>0</v>
      </c>
      <c r="AL137" s="123">
        <f t="shared" si="313"/>
        <v>1.3</v>
      </c>
      <c r="AM137" s="123">
        <f t="shared" si="313"/>
        <v>1.3</v>
      </c>
      <c r="AN137" s="117">
        <v>100</v>
      </c>
      <c r="AO137" s="123">
        <f t="shared" si="313"/>
        <v>0</v>
      </c>
      <c r="AP137" s="123">
        <f t="shared" si="313"/>
        <v>0</v>
      </c>
      <c r="AQ137" s="123">
        <v>0</v>
      </c>
      <c r="AR137" s="431"/>
      <c r="AS137" s="432"/>
      <c r="AT137" s="121"/>
      <c r="AU137" s="121"/>
      <c r="AV137" s="155"/>
    </row>
    <row r="138" spans="1:48" s="31" customFormat="1" ht="48">
      <c r="A138" s="430"/>
      <c r="B138" s="430"/>
      <c r="C138" s="430"/>
      <c r="D138" s="225" t="s">
        <v>442</v>
      </c>
      <c r="E138" s="123">
        <f>H138+K138+N138+Q138+T138+W138+Z138+AC138+AF138+AI138+AL138+AO138</f>
        <v>15.6</v>
      </c>
      <c r="F138" s="123">
        <f>I138+L138+O138+R138+U138+X138+AA138+AD138+AG138+AJ138+AM138+AP138</f>
        <v>15.6</v>
      </c>
      <c r="G138" s="123">
        <f t="shared" si="301"/>
        <v>100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0</v>
      </c>
      <c r="Q138" s="123">
        <v>0</v>
      </c>
      <c r="R138" s="123">
        <v>0</v>
      </c>
      <c r="S138" s="123">
        <v>0</v>
      </c>
      <c r="T138" s="123">
        <v>0</v>
      </c>
      <c r="U138" s="123">
        <v>0</v>
      </c>
      <c r="V138" s="117">
        <v>0</v>
      </c>
      <c r="W138" s="123">
        <v>4.0999999999999996</v>
      </c>
      <c r="X138" s="123">
        <v>4</v>
      </c>
      <c r="Y138" s="117">
        <f t="shared" si="308"/>
        <v>97.560975609756113</v>
      </c>
      <c r="Z138" s="123">
        <v>0.8</v>
      </c>
      <c r="AA138" s="123">
        <v>0.8</v>
      </c>
      <c r="AB138" s="117">
        <f t="shared" ref="AB138:AB139" si="314">AA138/Z138*100</f>
        <v>100</v>
      </c>
      <c r="AC138" s="123">
        <v>4.8</v>
      </c>
      <c r="AD138" s="123">
        <v>4.8</v>
      </c>
      <c r="AE138" s="117">
        <f t="shared" si="310"/>
        <v>100</v>
      </c>
      <c r="AF138" s="123">
        <v>5.9</v>
      </c>
      <c r="AG138" s="123">
        <v>6</v>
      </c>
      <c r="AH138" s="123">
        <f t="shared" si="312"/>
        <v>101.69491525423729</v>
      </c>
      <c r="AI138" s="123">
        <v>0</v>
      </c>
      <c r="AJ138" s="123">
        <v>0</v>
      </c>
      <c r="AK138" s="249">
        <v>0</v>
      </c>
      <c r="AL138" s="123">
        <v>0</v>
      </c>
      <c r="AM138" s="123">
        <v>0</v>
      </c>
      <c r="AN138" s="249">
        <v>0</v>
      </c>
      <c r="AO138" s="123">
        <v>0</v>
      </c>
      <c r="AP138" s="123">
        <v>0</v>
      </c>
      <c r="AQ138" s="123">
        <v>0</v>
      </c>
      <c r="AR138" s="431"/>
      <c r="AS138" s="432"/>
      <c r="AT138" s="121"/>
      <c r="AU138" s="121"/>
      <c r="AV138" s="155"/>
    </row>
    <row r="139" spans="1:48" s="31" customFormat="1" ht="23.25" customHeight="1">
      <c r="A139" s="430"/>
      <c r="B139" s="430"/>
      <c r="C139" s="430"/>
      <c r="D139" s="225" t="s">
        <v>463</v>
      </c>
      <c r="E139" s="123">
        <f t="shared" ref="E139:E140" si="315">H139+K139+N139+Q139+T139+W139+Z139+AC139+AF139+AI139+AL139+AO139</f>
        <v>13</v>
      </c>
      <c r="F139" s="123">
        <f t="shared" ref="F139:F140" si="316">I139+L139+O139+R139+U139+X139+AA139+AD139+AG139+AJ139+AM139+AP139</f>
        <v>13</v>
      </c>
      <c r="G139" s="123">
        <f t="shared" si="301"/>
        <v>100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3">
        <v>0</v>
      </c>
      <c r="O139" s="123">
        <v>0</v>
      </c>
      <c r="P139" s="123">
        <v>0</v>
      </c>
      <c r="Q139" s="123">
        <v>0</v>
      </c>
      <c r="R139" s="123">
        <v>0</v>
      </c>
      <c r="S139" s="123">
        <v>0</v>
      </c>
      <c r="T139" s="123">
        <v>0</v>
      </c>
      <c r="U139" s="123">
        <v>0</v>
      </c>
      <c r="V139" s="117">
        <v>0</v>
      </c>
      <c r="W139" s="123">
        <v>3.1</v>
      </c>
      <c r="X139" s="123">
        <v>2.9</v>
      </c>
      <c r="Y139" s="117">
        <f t="shared" si="308"/>
        <v>93.548387096774192</v>
      </c>
      <c r="Z139" s="123">
        <v>6.9</v>
      </c>
      <c r="AA139" s="123">
        <v>7.1</v>
      </c>
      <c r="AB139" s="117">
        <f t="shared" si="314"/>
        <v>102.89855072463767</v>
      </c>
      <c r="AC139" s="123">
        <v>1.7</v>
      </c>
      <c r="AD139" s="123">
        <v>1.7</v>
      </c>
      <c r="AE139" s="117">
        <f t="shared" si="310"/>
        <v>100</v>
      </c>
      <c r="AF139" s="123">
        <v>0</v>
      </c>
      <c r="AG139" s="123">
        <v>0</v>
      </c>
      <c r="AH139" s="123">
        <v>0</v>
      </c>
      <c r="AI139" s="123">
        <v>0</v>
      </c>
      <c r="AJ139" s="123">
        <v>0</v>
      </c>
      <c r="AK139" s="123">
        <v>0</v>
      </c>
      <c r="AL139" s="123">
        <v>1.3</v>
      </c>
      <c r="AM139" s="123">
        <v>1.3</v>
      </c>
      <c r="AN139" s="117">
        <v>100</v>
      </c>
      <c r="AO139" s="123">
        <v>0</v>
      </c>
      <c r="AP139" s="123">
        <v>0</v>
      </c>
      <c r="AQ139" s="123">
        <v>0</v>
      </c>
      <c r="AR139" s="431"/>
      <c r="AS139" s="432"/>
      <c r="AT139" s="121"/>
      <c r="AU139" s="121"/>
      <c r="AV139" s="155"/>
    </row>
    <row r="140" spans="1:48" s="31" customFormat="1" ht="30.75" customHeight="1">
      <c r="A140" s="430"/>
      <c r="B140" s="430"/>
      <c r="C140" s="430"/>
      <c r="D140" s="143" t="s">
        <v>257</v>
      </c>
      <c r="E140" s="123">
        <f t="shared" si="315"/>
        <v>0</v>
      </c>
      <c r="F140" s="123">
        <f t="shared" si="316"/>
        <v>0</v>
      </c>
      <c r="G140" s="123">
        <v>0</v>
      </c>
      <c r="H140" s="123">
        <v>0</v>
      </c>
      <c r="I140" s="123">
        <v>0</v>
      </c>
      <c r="J140" s="123">
        <v>0</v>
      </c>
      <c r="K140" s="123">
        <v>0</v>
      </c>
      <c r="L140" s="123">
        <v>0</v>
      </c>
      <c r="M140" s="123">
        <v>0</v>
      </c>
      <c r="N140" s="123">
        <v>0</v>
      </c>
      <c r="O140" s="123">
        <v>0</v>
      </c>
      <c r="P140" s="123">
        <v>0</v>
      </c>
      <c r="Q140" s="123">
        <v>0</v>
      </c>
      <c r="R140" s="123">
        <v>0</v>
      </c>
      <c r="S140" s="123">
        <v>0</v>
      </c>
      <c r="T140" s="123">
        <v>0</v>
      </c>
      <c r="U140" s="123">
        <v>0</v>
      </c>
      <c r="V140" s="117">
        <v>0</v>
      </c>
      <c r="W140" s="123">
        <v>0</v>
      </c>
      <c r="X140" s="123">
        <v>0</v>
      </c>
      <c r="Y140" s="117">
        <v>0</v>
      </c>
      <c r="Z140" s="123">
        <v>0</v>
      </c>
      <c r="AA140" s="123">
        <v>0</v>
      </c>
      <c r="AB140" s="117">
        <v>0</v>
      </c>
      <c r="AC140" s="123">
        <v>0</v>
      </c>
      <c r="AD140" s="123">
        <v>0</v>
      </c>
      <c r="AE140" s="117">
        <v>0</v>
      </c>
      <c r="AF140" s="123">
        <v>0</v>
      </c>
      <c r="AG140" s="123">
        <v>0</v>
      </c>
      <c r="AH140" s="123">
        <v>0</v>
      </c>
      <c r="AI140" s="123">
        <v>0</v>
      </c>
      <c r="AJ140" s="123">
        <v>0</v>
      </c>
      <c r="AK140" s="123">
        <v>0</v>
      </c>
      <c r="AL140" s="123">
        <v>0</v>
      </c>
      <c r="AM140" s="123">
        <v>0</v>
      </c>
      <c r="AN140" s="117">
        <v>0</v>
      </c>
      <c r="AO140" s="123">
        <v>0</v>
      </c>
      <c r="AP140" s="123">
        <v>0</v>
      </c>
      <c r="AQ140" s="123">
        <v>0</v>
      </c>
      <c r="AR140" s="431"/>
      <c r="AS140" s="432"/>
      <c r="AT140" s="121"/>
      <c r="AU140" s="121"/>
      <c r="AV140" s="155"/>
    </row>
    <row r="141" spans="1:48" s="31" customFormat="1" ht="27.75" customHeight="1">
      <c r="A141" s="430"/>
      <c r="B141" s="430"/>
      <c r="C141" s="430"/>
      <c r="D141" s="143" t="s">
        <v>469</v>
      </c>
      <c r="E141" s="123">
        <f>H141+K141+N141+Q141+T141+W141+Z141+AC141+AF141+AI141+AL141+AO141</f>
        <v>0</v>
      </c>
      <c r="F141" s="123">
        <f>I141+L141+O141+R141+U141+X141+AA141+AD141+AG141+AJ141+AM141+AP141</f>
        <v>0</v>
      </c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3">
        <v>0</v>
      </c>
      <c r="O141" s="123">
        <v>0</v>
      </c>
      <c r="P141" s="123">
        <v>0</v>
      </c>
      <c r="Q141" s="123"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17">
        <v>0</v>
      </c>
      <c r="Z141" s="123">
        <v>0</v>
      </c>
      <c r="AA141" s="123">
        <v>0</v>
      </c>
      <c r="AB141" s="117">
        <v>0</v>
      </c>
      <c r="AC141" s="123">
        <v>0</v>
      </c>
      <c r="AD141" s="123">
        <v>0</v>
      </c>
      <c r="AE141" s="117">
        <v>0</v>
      </c>
      <c r="AF141" s="123">
        <v>0</v>
      </c>
      <c r="AG141" s="123">
        <v>0</v>
      </c>
      <c r="AH141" s="123">
        <v>0</v>
      </c>
      <c r="AI141" s="123">
        <v>0</v>
      </c>
      <c r="AJ141" s="123">
        <v>0</v>
      </c>
      <c r="AK141" s="123">
        <v>0</v>
      </c>
      <c r="AL141" s="123">
        <v>0</v>
      </c>
      <c r="AM141" s="123">
        <v>0</v>
      </c>
      <c r="AN141" s="117">
        <v>0</v>
      </c>
      <c r="AO141" s="123">
        <v>0</v>
      </c>
      <c r="AP141" s="123">
        <v>0</v>
      </c>
      <c r="AQ141" s="123">
        <v>0</v>
      </c>
      <c r="AR141" s="431"/>
      <c r="AS141" s="432"/>
      <c r="AT141" s="121"/>
      <c r="AU141" s="121"/>
      <c r="AV141" s="155"/>
    </row>
    <row r="142" spans="1:48" s="31" customFormat="1" ht="12.75" customHeight="1">
      <c r="A142" s="430" t="s">
        <v>503</v>
      </c>
      <c r="B142" s="430"/>
      <c r="C142" s="430"/>
      <c r="D142" s="143" t="s">
        <v>444</v>
      </c>
      <c r="E142" s="123">
        <f>SUM(E143:E145)</f>
        <v>29.400000000000002</v>
      </c>
      <c r="F142" s="123">
        <f t="shared" ref="F142" si="317">SUM(F143:F145)</f>
        <v>29.400000000000002</v>
      </c>
      <c r="G142" s="123">
        <f t="shared" ref="G142:G144" si="318">F142/E142*100</f>
        <v>100</v>
      </c>
      <c r="H142" s="123">
        <f t="shared" ref="H142:I142" si="319">SUM(H143:H145)</f>
        <v>0</v>
      </c>
      <c r="I142" s="123">
        <f t="shared" si="319"/>
        <v>0</v>
      </c>
      <c r="J142" s="123">
        <v>0</v>
      </c>
      <c r="K142" s="123">
        <f t="shared" ref="K142:L142" si="320">SUM(K143:K145)</f>
        <v>0</v>
      </c>
      <c r="L142" s="123">
        <f t="shared" si="320"/>
        <v>0</v>
      </c>
      <c r="M142" s="123">
        <v>0</v>
      </c>
      <c r="N142" s="123">
        <f t="shared" ref="N142:O142" si="321">SUM(N143:N145)</f>
        <v>0</v>
      </c>
      <c r="O142" s="123">
        <f t="shared" si="321"/>
        <v>0</v>
      </c>
      <c r="P142" s="123">
        <v>0</v>
      </c>
      <c r="Q142" s="123">
        <f t="shared" ref="Q142:R142" si="322">SUM(Q143:Q145)</f>
        <v>0</v>
      </c>
      <c r="R142" s="123">
        <f t="shared" si="322"/>
        <v>0</v>
      </c>
      <c r="S142" s="123">
        <v>0</v>
      </c>
      <c r="T142" s="123">
        <f t="shared" ref="T142:U142" si="323">SUM(T143:T145)</f>
        <v>0</v>
      </c>
      <c r="U142" s="123">
        <f t="shared" si="323"/>
        <v>0</v>
      </c>
      <c r="V142" s="123">
        <v>0</v>
      </c>
      <c r="W142" s="123">
        <f t="shared" ref="W142:AA142" si="324">SUM(W143:W145)</f>
        <v>27.5</v>
      </c>
      <c r="X142" s="123">
        <f t="shared" si="324"/>
        <v>0</v>
      </c>
      <c r="Y142" s="123">
        <f t="shared" si="324"/>
        <v>0</v>
      </c>
      <c r="Z142" s="123">
        <f t="shared" si="324"/>
        <v>0</v>
      </c>
      <c r="AA142" s="123">
        <f t="shared" si="324"/>
        <v>0</v>
      </c>
      <c r="AB142" s="117">
        <v>0</v>
      </c>
      <c r="AC142" s="123">
        <f t="shared" ref="AC142:AD142" si="325">SUM(AC143:AC145)</f>
        <v>0</v>
      </c>
      <c r="AD142" s="123">
        <f t="shared" si="325"/>
        <v>0</v>
      </c>
      <c r="AE142" s="123">
        <v>0</v>
      </c>
      <c r="AF142" s="123">
        <f t="shared" ref="AF142:AG142" si="326">SUM(AF143:AF145)</f>
        <v>0</v>
      </c>
      <c r="AG142" s="123">
        <f t="shared" si="326"/>
        <v>11.399999999999999</v>
      </c>
      <c r="AH142" s="123">
        <v>100</v>
      </c>
      <c r="AI142" s="123">
        <f t="shared" ref="AI142:AP142" si="327">SUM(AI143:AI145)</f>
        <v>0</v>
      </c>
      <c r="AJ142" s="123">
        <f t="shared" si="327"/>
        <v>6.9</v>
      </c>
      <c r="AK142" s="123">
        <v>100</v>
      </c>
      <c r="AL142" s="123">
        <f t="shared" si="327"/>
        <v>1.9</v>
      </c>
      <c r="AM142" s="123">
        <f t="shared" si="327"/>
        <v>11.1</v>
      </c>
      <c r="AN142" s="123">
        <v>100</v>
      </c>
      <c r="AO142" s="123">
        <f t="shared" si="327"/>
        <v>0</v>
      </c>
      <c r="AP142" s="123">
        <f t="shared" si="327"/>
        <v>0</v>
      </c>
      <c r="AQ142" s="123">
        <v>0</v>
      </c>
      <c r="AR142" s="431"/>
      <c r="AS142" s="432"/>
      <c r="AT142" s="121"/>
      <c r="AU142" s="121"/>
      <c r="AV142" s="155"/>
    </row>
    <row r="143" spans="1:48" s="31" customFormat="1" ht="48">
      <c r="A143" s="430"/>
      <c r="B143" s="430"/>
      <c r="C143" s="430"/>
      <c r="D143" s="225" t="s">
        <v>442</v>
      </c>
      <c r="E143" s="123">
        <f>H143+K143+N143+Q143+T143+W143+Z143+AC143+AF143+AI143+AL143+AO143</f>
        <v>16.100000000000001</v>
      </c>
      <c r="F143" s="123">
        <f>I143+L143+O143+R143+U143+X143+AA143+AD143+AG143+AJ143+AM143+AP143</f>
        <v>16.100000000000001</v>
      </c>
      <c r="G143" s="123">
        <f t="shared" si="318"/>
        <v>100</v>
      </c>
      <c r="H143" s="123">
        <v>0</v>
      </c>
      <c r="I143" s="123">
        <v>0</v>
      </c>
      <c r="J143" s="123">
        <v>0</v>
      </c>
      <c r="K143" s="123">
        <v>0</v>
      </c>
      <c r="L143" s="123">
        <v>0</v>
      </c>
      <c r="M143" s="123">
        <v>0</v>
      </c>
      <c r="N143" s="123">
        <v>0</v>
      </c>
      <c r="O143" s="123">
        <v>0</v>
      </c>
      <c r="P143" s="123">
        <v>0</v>
      </c>
      <c r="Q143" s="123">
        <v>0</v>
      </c>
      <c r="R143" s="123">
        <v>0</v>
      </c>
      <c r="S143" s="123">
        <v>0</v>
      </c>
      <c r="T143" s="123">
        <v>0</v>
      </c>
      <c r="U143" s="123">
        <v>0</v>
      </c>
      <c r="V143" s="117">
        <v>0</v>
      </c>
      <c r="W143" s="123">
        <v>16.100000000000001</v>
      </c>
      <c r="X143" s="123">
        <v>0</v>
      </c>
      <c r="Y143" s="117">
        <f t="shared" ref="Y143:Y144" si="328">X143/W143*100</f>
        <v>0</v>
      </c>
      <c r="Z143" s="123">
        <v>0</v>
      </c>
      <c r="AA143" s="123">
        <v>0</v>
      </c>
      <c r="AB143" s="117">
        <v>0</v>
      </c>
      <c r="AC143" s="123">
        <v>0</v>
      </c>
      <c r="AD143" s="123">
        <v>0</v>
      </c>
      <c r="AE143" s="117">
        <v>0</v>
      </c>
      <c r="AF143" s="123">
        <v>0</v>
      </c>
      <c r="AG143" s="123">
        <v>4.8</v>
      </c>
      <c r="AH143" s="123">
        <v>100</v>
      </c>
      <c r="AI143" s="123">
        <v>0</v>
      </c>
      <c r="AJ143" s="123">
        <v>3.2</v>
      </c>
      <c r="AK143" s="249">
        <v>100</v>
      </c>
      <c r="AL143" s="123">
        <v>0</v>
      </c>
      <c r="AM143" s="123">
        <v>8.1</v>
      </c>
      <c r="AN143" s="249">
        <v>100</v>
      </c>
      <c r="AO143" s="123">
        <v>0</v>
      </c>
      <c r="AP143" s="123">
        <v>0</v>
      </c>
      <c r="AQ143" s="123">
        <v>0</v>
      </c>
      <c r="AR143" s="431"/>
      <c r="AS143" s="432"/>
      <c r="AT143" s="121"/>
      <c r="AU143" s="121"/>
      <c r="AV143" s="155"/>
    </row>
    <row r="144" spans="1:48" s="31" customFormat="1" ht="23.25" customHeight="1">
      <c r="A144" s="430"/>
      <c r="B144" s="430"/>
      <c r="C144" s="430"/>
      <c r="D144" s="225" t="s">
        <v>463</v>
      </c>
      <c r="E144" s="123">
        <f t="shared" ref="E144:E145" si="329">H144+K144+N144+Q144+T144+W144+Z144+AC144+AF144+AI144+AL144+AO144</f>
        <v>13.3</v>
      </c>
      <c r="F144" s="123">
        <f t="shared" ref="F144:F145" si="330">I144+L144+O144+R144+U144+X144+AA144+AD144+AG144+AJ144+AM144+AP144</f>
        <v>13.3</v>
      </c>
      <c r="G144" s="123">
        <f t="shared" si="318"/>
        <v>100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3">
        <v>0</v>
      </c>
      <c r="O144" s="123">
        <v>0</v>
      </c>
      <c r="P144" s="123">
        <v>0</v>
      </c>
      <c r="Q144" s="123">
        <v>0</v>
      </c>
      <c r="R144" s="123">
        <v>0</v>
      </c>
      <c r="S144" s="123">
        <v>0</v>
      </c>
      <c r="T144" s="123">
        <v>0</v>
      </c>
      <c r="U144" s="123">
        <v>0</v>
      </c>
      <c r="V144" s="117">
        <v>0</v>
      </c>
      <c r="W144" s="123">
        <v>11.4</v>
      </c>
      <c r="X144" s="123">
        <v>0</v>
      </c>
      <c r="Y144" s="117">
        <f t="shared" si="328"/>
        <v>0</v>
      </c>
      <c r="Z144" s="123">
        <v>0</v>
      </c>
      <c r="AA144" s="123">
        <v>0</v>
      </c>
      <c r="AB144" s="117">
        <v>0</v>
      </c>
      <c r="AC144" s="123">
        <v>0</v>
      </c>
      <c r="AD144" s="123">
        <v>0</v>
      </c>
      <c r="AE144" s="117">
        <v>0</v>
      </c>
      <c r="AF144" s="123">
        <v>0</v>
      </c>
      <c r="AG144" s="123">
        <v>6.6</v>
      </c>
      <c r="AH144" s="123">
        <v>100</v>
      </c>
      <c r="AI144" s="123">
        <v>0</v>
      </c>
      <c r="AJ144" s="123">
        <v>3.7</v>
      </c>
      <c r="AK144" s="123">
        <v>100</v>
      </c>
      <c r="AL144" s="123">
        <v>1.9</v>
      </c>
      <c r="AM144" s="123">
        <v>3</v>
      </c>
      <c r="AN144" s="117">
        <v>100</v>
      </c>
      <c r="AO144" s="123">
        <v>0</v>
      </c>
      <c r="AP144" s="123">
        <v>0</v>
      </c>
      <c r="AQ144" s="123">
        <v>0</v>
      </c>
      <c r="AR144" s="431"/>
      <c r="AS144" s="432"/>
      <c r="AT144" s="121"/>
      <c r="AU144" s="121"/>
      <c r="AV144" s="155"/>
    </row>
    <row r="145" spans="1:48" s="31" customFormat="1" ht="30.75" customHeight="1">
      <c r="A145" s="430"/>
      <c r="B145" s="430"/>
      <c r="C145" s="430"/>
      <c r="D145" s="143" t="s">
        <v>257</v>
      </c>
      <c r="E145" s="123">
        <f t="shared" si="329"/>
        <v>0</v>
      </c>
      <c r="F145" s="123">
        <f t="shared" si="330"/>
        <v>0</v>
      </c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3">
        <v>0</v>
      </c>
      <c r="O145" s="123">
        <v>0</v>
      </c>
      <c r="P145" s="123">
        <v>0</v>
      </c>
      <c r="Q145" s="123">
        <v>0</v>
      </c>
      <c r="R145" s="123">
        <v>0</v>
      </c>
      <c r="S145" s="123">
        <v>0</v>
      </c>
      <c r="T145" s="123">
        <v>0</v>
      </c>
      <c r="U145" s="123">
        <v>0</v>
      </c>
      <c r="V145" s="117">
        <v>0</v>
      </c>
      <c r="W145" s="123">
        <v>0</v>
      </c>
      <c r="X145" s="123">
        <v>0</v>
      </c>
      <c r="Y145" s="117">
        <v>0</v>
      </c>
      <c r="Z145" s="123">
        <v>0</v>
      </c>
      <c r="AA145" s="123">
        <v>0</v>
      </c>
      <c r="AB145" s="117">
        <v>0</v>
      </c>
      <c r="AC145" s="123">
        <v>0</v>
      </c>
      <c r="AD145" s="123">
        <v>0</v>
      </c>
      <c r="AE145" s="117">
        <v>0</v>
      </c>
      <c r="AF145" s="123">
        <v>0</v>
      </c>
      <c r="AG145" s="123">
        <v>0</v>
      </c>
      <c r="AH145" s="123">
        <v>0</v>
      </c>
      <c r="AI145" s="123">
        <v>0</v>
      </c>
      <c r="AJ145" s="123">
        <v>0</v>
      </c>
      <c r="AK145" s="123">
        <v>0</v>
      </c>
      <c r="AL145" s="123">
        <v>0</v>
      </c>
      <c r="AM145" s="123">
        <v>0</v>
      </c>
      <c r="AN145" s="117">
        <v>0</v>
      </c>
      <c r="AO145" s="123">
        <v>0</v>
      </c>
      <c r="AP145" s="123">
        <v>0</v>
      </c>
      <c r="AQ145" s="123">
        <v>0</v>
      </c>
      <c r="AR145" s="431"/>
      <c r="AS145" s="432"/>
      <c r="AT145" s="121"/>
      <c r="AU145" s="121"/>
      <c r="AV145" s="155"/>
    </row>
    <row r="146" spans="1:48" s="31" customFormat="1" ht="27.75" customHeight="1">
      <c r="A146" s="430"/>
      <c r="B146" s="430"/>
      <c r="C146" s="430"/>
      <c r="D146" s="143" t="s">
        <v>469</v>
      </c>
      <c r="E146" s="123">
        <f>H146+K146+N146+Q146+T146+W146+Z146+AC146+AF146+AI146+AL146+AO146</f>
        <v>0</v>
      </c>
      <c r="F146" s="123">
        <f>I146+L146+O146+R146+U146+X146+AA146+AD146+AG146+AJ146+AM146+AP146</f>
        <v>0</v>
      </c>
      <c r="G146" s="123">
        <v>0</v>
      </c>
      <c r="H146" s="123">
        <v>0</v>
      </c>
      <c r="I146" s="123">
        <v>0</v>
      </c>
      <c r="J146" s="123">
        <v>0</v>
      </c>
      <c r="K146" s="123">
        <v>0</v>
      </c>
      <c r="L146" s="123">
        <v>0</v>
      </c>
      <c r="M146" s="123">
        <v>0</v>
      </c>
      <c r="N146" s="123">
        <v>0</v>
      </c>
      <c r="O146" s="123">
        <v>0</v>
      </c>
      <c r="P146" s="123">
        <v>0</v>
      </c>
      <c r="Q146" s="123">
        <v>0</v>
      </c>
      <c r="R146" s="123">
        <v>0</v>
      </c>
      <c r="S146" s="123">
        <v>0</v>
      </c>
      <c r="T146" s="123">
        <v>0</v>
      </c>
      <c r="U146" s="123">
        <v>0</v>
      </c>
      <c r="V146" s="123">
        <v>0</v>
      </c>
      <c r="W146" s="123">
        <v>0</v>
      </c>
      <c r="X146" s="123">
        <v>0</v>
      </c>
      <c r="Y146" s="117">
        <v>0</v>
      </c>
      <c r="Z146" s="123">
        <v>0</v>
      </c>
      <c r="AA146" s="123">
        <v>0</v>
      </c>
      <c r="AB146" s="117">
        <v>0</v>
      </c>
      <c r="AC146" s="123">
        <v>0</v>
      </c>
      <c r="AD146" s="123">
        <v>0</v>
      </c>
      <c r="AE146" s="117">
        <v>0</v>
      </c>
      <c r="AF146" s="123">
        <v>0</v>
      </c>
      <c r="AG146" s="123">
        <v>0</v>
      </c>
      <c r="AH146" s="123">
        <v>0</v>
      </c>
      <c r="AI146" s="123">
        <v>0</v>
      </c>
      <c r="AJ146" s="123">
        <v>0</v>
      </c>
      <c r="AK146" s="123">
        <v>0</v>
      </c>
      <c r="AL146" s="123">
        <v>0</v>
      </c>
      <c r="AM146" s="123">
        <v>0</v>
      </c>
      <c r="AN146" s="117">
        <v>0</v>
      </c>
      <c r="AO146" s="123">
        <v>0</v>
      </c>
      <c r="AP146" s="123">
        <v>0</v>
      </c>
      <c r="AQ146" s="123">
        <v>0</v>
      </c>
      <c r="AR146" s="431"/>
      <c r="AS146" s="432"/>
      <c r="AT146" s="121"/>
      <c r="AU146" s="121"/>
      <c r="AV146" s="155"/>
    </row>
    <row r="147" spans="1:48" s="31" customFormat="1" ht="12.75" customHeight="1">
      <c r="A147" s="430" t="s">
        <v>504</v>
      </c>
      <c r="B147" s="430"/>
      <c r="C147" s="430"/>
      <c r="D147" s="143" t="s">
        <v>444</v>
      </c>
      <c r="E147" s="123">
        <f>SUM(E148:E150)</f>
        <v>0</v>
      </c>
      <c r="F147" s="123">
        <f t="shared" ref="F147" si="331">SUM(F148:F150)</f>
        <v>0</v>
      </c>
      <c r="G147" s="123">
        <f t="shared" ref="G147:AQ147" si="332">SUM(G148:G150)</f>
        <v>0</v>
      </c>
      <c r="H147" s="123">
        <f t="shared" si="332"/>
        <v>0</v>
      </c>
      <c r="I147" s="123">
        <f t="shared" si="332"/>
        <v>0</v>
      </c>
      <c r="J147" s="123">
        <f t="shared" si="332"/>
        <v>0</v>
      </c>
      <c r="K147" s="123">
        <f t="shared" si="332"/>
        <v>0</v>
      </c>
      <c r="L147" s="123">
        <f t="shared" si="332"/>
        <v>0</v>
      </c>
      <c r="M147" s="123">
        <f t="shared" si="332"/>
        <v>0</v>
      </c>
      <c r="N147" s="123">
        <f t="shared" si="332"/>
        <v>0</v>
      </c>
      <c r="O147" s="123">
        <f t="shared" si="332"/>
        <v>0</v>
      </c>
      <c r="P147" s="123">
        <f t="shared" si="332"/>
        <v>0</v>
      </c>
      <c r="Q147" s="123">
        <f t="shared" si="332"/>
        <v>0</v>
      </c>
      <c r="R147" s="123">
        <f t="shared" si="332"/>
        <v>0</v>
      </c>
      <c r="S147" s="123">
        <f t="shared" si="332"/>
        <v>0</v>
      </c>
      <c r="T147" s="123">
        <f t="shared" si="332"/>
        <v>0</v>
      </c>
      <c r="U147" s="123">
        <f t="shared" si="332"/>
        <v>0</v>
      </c>
      <c r="V147" s="123">
        <f t="shared" si="332"/>
        <v>0</v>
      </c>
      <c r="W147" s="123">
        <f t="shared" si="332"/>
        <v>0</v>
      </c>
      <c r="X147" s="123">
        <f t="shared" si="332"/>
        <v>0</v>
      </c>
      <c r="Y147" s="123">
        <f t="shared" si="332"/>
        <v>0</v>
      </c>
      <c r="Z147" s="123">
        <f t="shared" si="332"/>
        <v>0</v>
      </c>
      <c r="AA147" s="123">
        <f t="shared" si="332"/>
        <v>0</v>
      </c>
      <c r="AB147" s="123">
        <f t="shared" si="332"/>
        <v>0</v>
      </c>
      <c r="AC147" s="123">
        <f t="shared" si="332"/>
        <v>0</v>
      </c>
      <c r="AD147" s="123">
        <f t="shared" si="332"/>
        <v>0</v>
      </c>
      <c r="AE147" s="123">
        <f t="shared" si="332"/>
        <v>0</v>
      </c>
      <c r="AF147" s="123">
        <f t="shared" si="332"/>
        <v>0</v>
      </c>
      <c r="AG147" s="123">
        <f t="shared" si="332"/>
        <v>0</v>
      </c>
      <c r="AH147" s="123">
        <f t="shared" si="332"/>
        <v>0</v>
      </c>
      <c r="AI147" s="123">
        <f t="shared" si="332"/>
        <v>0</v>
      </c>
      <c r="AJ147" s="123">
        <f t="shared" si="332"/>
        <v>0</v>
      </c>
      <c r="AK147" s="123">
        <f t="shared" si="332"/>
        <v>0</v>
      </c>
      <c r="AL147" s="123">
        <f t="shared" si="332"/>
        <v>0</v>
      </c>
      <c r="AM147" s="123">
        <f t="shared" si="332"/>
        <v>0</v>
      </c>
      <c r="AN147" s="123">
        <f t="shared" si="332"/>
        <v>0</v>
      </c>
      <c r="AO147" s="123">
        <f t="shared" si="332"/>
        <v>0</v>
      </c>
      <c r="AP147" s="123">
        <f t="shared" si="332"/>
        <v>0</v>
      </c>
      <c r="AQ147" s="123">
        <f t="shared" si="332"/>
        <v>0</v>
      </c>
      <c r="AR147" s="431"/>
      <c r="AS147" s="432"/>
      <c r="AT147" s="121"/>
      <c r="AU147" s="121"/>
      <c r="AV147" s="155"/>
    </row>
    <row r="148" spans="1:48" s="31" customFormat="1" ht="48">
      <c r="A148" s="430"/>
      <c r="B148" s="430"/>
      <c r="C148" s="430"/>
      <c r="D148" s="225" t="s">
        <v>442</v>
      </c>
      <c r="E148" s="123">
        <f>H148+K148+N148+Q148+T148+W148+Z148+AC148+AF148+AI148+AL148+AO148</f>
        <v>0</v>
      </c>
      <c r="F148" s="123">
        <f>I148+L148+O148+R148+U148+X148+AA148+AD148+AG148+AJ148+AM148+AP148</f>
        <v>0</v>
      </c>
      <c r="G148" s="123">
        <f t="shared" ref="G148:AQ151" si="333">J148+M148+P148+S148+V148+Y148+AB148+AE148+AH148+AK148+AN148+AQ148</f>
        <v>0</v>
      </c>
      <c r="H148" s="123">
        <f t="shared" si="333"/>
        <v>0</v>
      </c>
      <c r="I148" s="123">
        <f t="shared" si="333"/>
        <v>0</v>
      </c>
      <c r="J148" s="123">
        <f t="shared" si="333"/>
        <v>0</v>
      </c>
      <c r="K148" s="123">
        <f t="shared" si="333"/>
        <v>0</v>
      </c>
      <c r="L148" s="123">
        <f t="shared" si="333"/>
        <v>0</v>
      </c>
      <c r="M148" s="123">
        <f t="shared" si="333"/>
        <v>0</v>
      </c>
      <c r="N148" s="123">
        <f t="shared" si="333"/>
        <v>0</v>
      </c>
      <c r="O148" s="123">
        <f t="shared" si="333"/>
        <v>0</v>
      </c>
      <c r="P148" s="123">
        <f t="shared" si="333"/>
        <v>0</v>
      </c>
      <c r="Q148" s="123">
        <f t="shared" si="333"/>
        <v>0</v>
      </c>
      <c r="R148" s="123">
        <f t="shared" si="333"/>
        <v>0</v>
      </c>
      <c r="S148" s="123">
        <f t="shared" si="333"/>
        <v>0</v>
      </c>
      <c r="T148" s="123">
        <f t="shared" si="333"/>
        <v>0</v>
      </c>
      <c r="U148" s="123">
        <f t="shared" si="333"/>
        <v>0</v>
      </c>
      <c r="V148" s="123">
        <f t="shared" si="333"/>
        <v>0</v>
      </c>
      <c r="W148" s="123">
        <f t="shared" si="333"/>
        <v>0</v>
      </c>
      <c r="X148" s="123">
        <f t="shared" si="333"/>
        <v>0</v>
      </c>
      <c r="Y148" s="123">
        <f t="shared" si="333"/>
        <v>0</v>
      </c>
      <c r="Z148" s="123">
        <f t="shared" si="333"/>
        <v>0</v>
      </c>
      <c r="AA148" s="123">
        <f t="shared" si="333"/>
        <v>0</v>
      </c>
      <c r="AB148" s="123">
        <f t="shared" si="333"/>
        <v>0</v>
      </c>
      <c r="AC148" s="123">
        <f t="shared" si="333"/>
        <v>0</v>
      </c>
      <c r="AD148" s="123">
        <f t="shared" si="333"/>
        <v>0</v>
      </c>
      <c r="AE148" s="123">
        <f t="shared" si="333"/>
        <v>0</v>
      </c>
      <c r="AF148" s="123">
        <f t="shared" si="333"/>
        <v>0</v>
      </c>
      <c r="AG148" s="123">
        <f t="shared" si="333"/>
        <v>0</v>
      </c>
      <c r="AH148" s="123">
        <f t="shared" si="333"/>
        <v>0</v>
      </c>
      <c r="AI148" s="123">
        <f t="shared" si="333"/>
        <v>0</v>
      </c>
      <c r="AJ148" s="123">
        <f t="shared" si="333"/>
        <v>0</v>
      </c>
      <c r="AK148" s="123">
        <f t="shared" si="333"/>
        <v>0</v>
      </c>
      <c r="AL148" s="123">
        <f t="shared" si="333"/>
        <v>0</v>
      </c>
      <c r="AM148" s="123">
        <f t="shared" si="333"/>
        <v>0</v>
      </c>
      <c r="AN148" s="123">
        <f t="shared" si="333"/>
        <v>0</v>
      </c>
      <c r="AO148" s="123">
        <f t="shared" si="333"/>
        <v>0</v>
      </c>
      <c r="AP148" s="123">
        <f t="shared" si="333"/>
        <v>0</v>
      </c>
      <c r="AQ148" s="123">
        <f t="shared" si="333"/>
        <v>0</v>
      </c>
      <c r="AR148" s="431"/>
      <c r="AS148" s="432"/>
      <c r="AT148" s="121"/>
      <c r="AU148" s="121"/>
      <c r="AV148" s="155"/>
    </row>
    <row r="149" spans="1:48" s="31" customFormat="1" ht="23.25" customHeight="1">
      <c r="A149" s="430"/>
      <c r="B149" s="430"/>
      <c r="C149" s="430"/>
      <c r="D149" s="225" t="s">
        <v>463</v>
      </c>
      <c r="E149" s="123">
        <f t="shared" ref="E149:E150" si="334">H149+K149+N149+Q149+T149+W149+Z149+AC149+AF149+AI149+AL149+AO149</f>
        <v>0</v>
      </c>
      <c r="F149" s="123">
        <f t="shared" ref="F149:F150" si="335">I149+L149+O149+R149+U149+X149+AA149+AD149+AG149+AJ149+AM149+AP149</f>
        <v>0</v>
      </c>
      <c r="G149" s="123">
        <f t="shared" si="333"/>
        <v>0</v>
      </c>
      <c r="H149" s="123">
        <f t="shared" si="333"/>
        <v>0</v>
      </c>
      <c r="I149" s="123">
        <f t="shared" si="333"/>
        <v>0</v>
      </c>
      <c r="J149" s="123">
        <f t="shared" si="333"/>
        <v>0</v>
      </c>
      <c r="K149" s="123">
        <f t="shared" si="333"/>
        <v>0</v>
      </c>
      <c r="L149" s="123">
        <f t="shared" si="333"/>
        <v>0</v>
      </c>
      <c r="M149" s="123">
        <f t="shared" si="333"/>
        <v>0</v>
      </c>
      <c r="N149" s="123">
        <f t="shared" si="333"/>
        <v>0</v>
      </c>
      <c r="O149" s="123">
        <f t="shared" si="333"/>
        <v>0</v>
      </c>
      <c r="P149" s="123">
        <f t="shared" si="333"/>
        <v>0</v>
      </c>
      <c r="Q149" s="123">
        <f t="shared" si="333"/>
        <v>0</v>
      </c>
      <c r="R149" s="123">
        <f t="shared" si="333"/>
        <v>0</v>
      </c>
      <c r="S149" s="123">
        <f t="shared" si="333"/>
        <v>0</v>
      </c>
      <c r="T149" s="123">
        <f t="shared" si="333"/>
        <v>0</v>
      </c>
      <c r="U149" s="123">
        <f t="shared" si="333"/>
        <v>0</v>
      </c>
      <c r="V149" s="123">
        <f t="shared" si="333"/>
        <v>0</v>
      </c>
      <c r="W149" s="123">
        <f t="shared" si="333"/>
        <v>0</v>
      </c>
      <c r="X149" s="123">
        <f t="shared" si="333"/>
        <v>0</v>
      </c>
      <c r="Y149" s="123">
        <f t="shared" si="333"/>
        <v>0</v>
      </c>
      <c r="Z149" s="123">
        <f t="shared" si="333"/>
        <v>0</v>
      </c>
      <c r="AA149" s="123">
        <f t="shared" si="333"/>
        <v>0</v>
      </c>
      <c r="AB149" s="123">
        <f t="shared" si="333"/>
        <v>0</v>
      </c>
      <c r="AC149" s="123">
        <f t="shared" si="333"/>
        <v>0</v>
      </c>
      <c r="AD149" s="123">
        <f t="shared" si="333"/>
        <v>0</v>
      </c>
      <c r="AE149" s="123">
        <f t="shared" si="333"/>
        <v>0</v>
      </c>
      <c r="AF149" s="123">
        <f t="shared" si="333"/>
        <v>0</v>
      </c>
      <c r="AG149" s="123">
        <f t="shared" si="333"/>
        <v>0</v>
      </c>
      <c r="AH149" s="123">
        <f t="shared" si="333"/>
        <v>0</v>
      </c>
      <c r="AI149" s="123">
        <f t="shared" si="333"/>
        <v>0</v>
      </c>
      <c r="AJ149" s="123">
        <f t="shared" si="333"/>
        <v>0</v>
      </c>
      <c r="AK149" s="123">
        <f t="shared" si="333"/>
        <v>0</v>
      </c>
      <c r="AL149" s="123">
        <f t="shared" si="333"/>
        <v>0</v>
      </c>
      <c r="AM149" s="123">
        <f t="shared" si="333"/>
        <v>0</v>
      </c>
      <c r="AN149" s="123">
        <f t="shared" si="333"/>
        <v>0</v>
      </c>
      <c r="AO149" s="123">
        <f t="shared" si="333"/>
        <v>0</v>
      </c>
      <c r="AP149" s="123">
        <f t="shared" si="333"/>
        <v>0</v>
      </c>
      <c r="AQ149" s="123">
        <f t="shared" si="333"/>
        <v>0</v>
      </c>
      <c r="AR149" s="431"/>
      <c r="AS149" s="432"/>
      <c r="AT149" s="121"/>
      <c r="AU149" s="121"/>
      <c r="AV149" s="155"/>
    </row>
    <row r="150" spans="1:48" s="31" customFormat="1" ht="30.75" customHeight="1">
      <c r="A150" s="430"/>
      <c r="B150" s="430"/>
      <c r="C150" s="430"/>
      <c r="D150" s="143" t="s">
        <v>257</v>
      </c>
      <c r="E150" s="123">
        <f t="shared" si="334"/>
        <v>0</v>
      </c>
      <c r="F150" s="123">
        <f t="shared" si="335"/>
        <v>0</v>
      </c>
      <c r="G150" s="123">
        <f t="shared" si="333"/>
        <v>0</v>
      </c>
      <c r="H150" s="123">
        <f t="shared" si="333"/>
        <v>0</v>
      </c>
      <c r="I150" s="123">
        <f t="shared" si="333"/>
        <v>0</v>
      </c>
      <c r="J150" s="123">
        <f t="shared" si="333"/>
        <v>0</v>
      </c>
      <c r="K150" s="123">
        <f t="shared" si="333"/>
        <v>0</v>
      </c>
      <c r="L150" s="123">
        <f t="shared" si="333"/>
        <v>0</v>
      </c>
      <c r="M150" s="123">
        <f t="shared" si="333"/>
        <v>0</v>
      </c>
      <c r="N150" s="123">
        <f t="shared" si="333"/>
        <v>0</v>
      </c>
      <c r="O150" s="123">
        <f t="shared" si="333"/>
        <v>0</v>
      </c>
      <c r="P150" s="123">
        <f t="shared" si="333"/>
        <v>0</v>
      </c>
      <c r="Q150" s="123">
        <f t="shared" si="333"/>
        <v>0</v>
      </c>
      <c r="R150" s="123">
        <f t="shared" si="333"/>
        <v>0</v>
      </c>
      <c r="S150" s="123">
        <f t="shared" si="333"/>
        <v>0</v>
      </c>
      <c r="T150" s="123">
        <f t="shared" si="333"/>
        <v>0</v>
      </c>
      <c r="U150" s="123">
        <f t="shared" si="333"/>
        <v>0</v>
      </c>
      <c r="V150" s="123">
        <f t="shared" si="333"/>
        <v>0</v>
      </c>
      <c r="W150" s="123">
        <f t="shared" si="333"/>
        <v>0</v>
      </c>
      <c r="X150" s="123">
        <f t="shared" si="333"/>
        <v>0</v>
      </c>
      <c r="Y150" s="123">
        <f t="shared" si="333"/>
        <v>0</v>
      </c>
      <c r="Z150" s="123">
        <f t="shared" si="333"/>
        <v>0</v>
      </c>
      <c r="AA150" s="123">
        <f t="shared" si="333"/>
        <v>0</v>
      </c>
      <c r="AB150" s="123">
        <f t="shared" si="333"/>
        <v>0</v>
      </c>
      <c r="AC150" s="123">
        <f t="shared" si="333"/>
        <v>0</v>
      </c>
      <c r="AD150" s="123">
        <f t="shared" si="333"/>
        <v>0</v>
      </c>
      <c r="AE150" s="123">
        <f t="shared" si="333"/>
        <v>0</v>
      </c>
      <c r="AF150" s="123">
        <f t="shared" si="333"/>
        <v>0</v>
      </c>
      <c r="AG150" s="123">
        <f t="shared" si="333"/>
        <v>0</v>
      </c>
      <c r="AH150" s="123">
        <f t="shared" si="333"/>
        <v>0</v>
      </c>
      <c r="AI150" s="123">
        <f t="shared" si="333"/>
        <v>0</v>
      </c>
      <c r="AJ150" s="123">
        <f t="shared" si="333"/>
        <v>0</v>
      </c>
      <c r="AK150" s="123">
        <f t="shared" si="333"/>
        <v>0</v>
      </c>
      <c r="AL150" s="123">
        <f t="shared" si="333"/>
        <v>0</v>
      </c>
      <c r="AM150" s="123">
        <f t="shared" si="333"/>
        <v>0</v>
      </c>
      <c r="AN150" s="123">
        <f t="shared" si="333"/>
        <v>0</v>
      </c>
      <c r="AO150" s="123">
        <f t="shared" si="333"/>
        <v>0</v>
      </c>
      <c r="AP150" s="123">
        <f t="shared" si="333"/>
        <v>0</v>
      </c>
      <c r="AQ150" s="123">
        <f t="shared" si="333"/>
        <v>0</v>
      </c>
      <c r="AR150" s="431"/>
      <c r="AS150" s="432"/>
      <c r="AT150" s="121"/>
      <c r="AU150" s="121"/>
      <c r="AV150" s="155"/>
    </row>
    <row r="151" spans="1:48" s="31" customFormat="1" ht="27.75" customHeight="1">
      <c r="A151" s="430"/>
      <c r="B151" s="430"/>
      <c r="C151" s="430"/>
      <c r="D151" s="143" t="s">
        <v>469</v>
      </c>
      <c r="E151" s="123">
        <f>H151+K151+N151+Q151+T151+W151+Z151+AC151+AF151+AI151+AL151+AO151</f>
        <v>0</v>
      </c>
      <c r="F151" s="123">
        <f>I151+L151+O151+R151+U151+X151+AA151+AD151+AG151+AJ151+AM151+AP151</f>
        <v>0</v>
      </c>
      <c r="G151" s="123">
        <f t="shared" si="333"/>
        <v>0</v>
      </c>
      <c r="H151" s="123">
        <f t="shared" si="333"/>
        <v>0</v>
      </c>
      <c r="I151" s="123">
        <f t="shared" si="333"/>
        <v>0</v>
      </c>
      <c r="J151" s="123">
        <f t="shared" si="333"/>
        <v>0</v>
      </c>
      <c r="K151" s="123">
        <f t="shared" si="333"/>
        <v>0</v>
      </c>
      <c r="L151" s="123">
        <f t="shared" si="333"/>
        <v>0</v>
      </c>
      <c r="M151" s="123">
        <f t="shared" si="333"/>
        <v>0</v>
      </c>
      <c r="N151" s="123">
        <f t="shared" si="333"/>
        <v>0</v>
      </c>
      <c r="O151" s="123">
        <f t="shared" si="333"/>
        <v>0</v>
      </c>
      <c r="P151" s="123">
        <f t="shared" si="333"/>
        <v>0</v>
      </c>
      <c r="Q151" s="123">
        <f t="shared" si="333"/>
        <v>0</v>
      </c>
      <c r="R151" s="123">
        <f t="shared" si="333"/>
        <v>0</v>
      </c>
      <c r="S151" s="123">
        <f t="shared" si="333"/>
        <v>0</v>
      </c>
      <c r="T151" s="123">
        <f t="shared" si="333"/>
        <v>0</v>
      </c>
      <c r="U151" s="123">
        <f t="shared" si="333"/>
        <v>0</v>
      </c>
      <c r="V151" s="123">
        <f t="shared" si="333"/>
        <v>0</v>
      </c>
      <c r="W151" s="123">
        <f t="shared" si="333"/>
        <v>0</v>
      </c>
      <c r="X151" s="123">
        <f t="shared" si="333"/>
        <v>0</v>
      </c>
      <c r="Y151" s="123">
        <f t="shared" si="333"/>
        <v>0</v>
      </c>
      <c r="Z151" s="123">
        <f t="shared" si="333"/>
        <v>0</v>
      </c>
      <c r="AA151" s="123">
        <f t="shared" si="333"/>
        <v>0</v>
      </c>
      <c r="AB151" s="123">
        <f t="shared" si="333"/>
        <v>0</v>
      </c>
      <c r="AC151" s="123">
        <f t="shared" si="333"/>
        <v>0</v>
      </c>
      <c r="AD151" s="123">
        <f t="shared" si="333"/>
        <v>0</v>
      </c>
      <c r="AE151" s="123">
        <f t="shared" si="333"/>
        <v>0</v>
      </c>
      <c r="AF151" s="123">
        <f t="shared" si="333"/>
        <v>0</v>
      </c>
      <c r="AG151" s="123">
        <f t="shared" si="333"/>
        <v>0</v>
      </c>
      <c r="AH151" s="123">
        <f t="shared" si="333"/>
        <v>0</v>
      </c>
      <c r="AI151" s="123">
        <f t="shared" si="333"/>
        <v>0</v>
      </c>
      <c r="AJ151" s="123">
        <f t="shared" si="333"/>
        <v>0</v>
      </c>
      <c r="AK151" s="123">
        <f t="shared" si="333"/>
        <v>0</v>
      </c>
      <c r="AL151" s="123">
        <f t="shared" si="333"/>
        <v>0</v>
      </c>
      <c r="AM151" s="123">
        <f t="shared" si="333"/>
        <v>0</v>
      </c>
      <c r="AN151" s="123">
        <f t="shared" si="333"/>
        <v>0</v>
      </c>
      <c r="AO151" s="123">
        <f t="shared" si="333"/>
        <v>0</v>
      </c>
      <c r="AP151" s="123">
        <f t="shared" si="333"/>
        <v>0</v>
      </c>
      <c r="AQ151" s="123">
        <f t="shared" si="333"/>
        <v>0</v>
      </c>
      <c r="AR151" s="431"/>
      <c r="AS151" s="432"/>
      <c r="AT151" s="121"/>
      <c r="AU151" s="121"/>
      <c r="AV151" s="155"/>
    </row>
    <row r="152" spans="1:48" s="31" customFormat="1" ht="12.75" customHeight="1">
      <c r="A152" s="430" t="s">
        <v>505</v>
      </c>
      <c r="B152" s="430"/>
      <c r="C152" s="430"/>
      <c r="D152" s="143" t="s">
        <v>444</v>
      </c>
      <c r="E152" s="123">
        <f>SUM(E153:E155)</f>
        <v>377.29999999999995</v>
      </c>
      <c r="F152" s="123">
        <f t="shared" ref="F152" si="336">SUM(F153:F155)</f>
        <v>350.6</v>
      </c>
      <c r="G152" s="123">
        <f t="shared" ref="G152:G154" si="337">F152/E152*100</f>
        <v>92.923403127484789</v>
      </c>
      <c r="H152" s="123">
        <f t="shared" ref="H152:I152" si="338">SUM(H153:H155)</f>
        <v>0</v>
      </c>
      <c r="I152" s="123">
        <f t="shared" si="338"/>
        <v>0</v>
      </c>
      <c r="J152" s="123">
        <v>0</v>
      </c>
      <c r="K152" s="123">
        <f t="shared" ref="K152:L152" si="339">SUM(K153:K155)</f>
        <v>52</v>
      </c>
      <c r="L152" s="123">
        <f t="shared" si="339"/>
        <v>52</v>
      </c>
      <c r="M152" s="123">
        <f>L152/K152*100</f>
        <v>100</v>
      </c>
      <c r="N152" s="123">
        <f t="shared" ref="N152:O152" si="340">SUM(N153:N155)</f>
        <v>27</v>
      </c>
      <c r="O152" s="123">
        <f t="shared" si="340"/>
        <v>26.4</v>
      </c>
      <c r="P152" s="123">
        <f>O152/N152*100</f>
        <v>97.777777777777771</v>
      </c>
      <c r="Q152" s="123">
        <f t="shared" ref="Q152:R152" si="341">SUM(Q153:Q155)</f>
        <v>19.8</v>
      </c>
      <c r="R152" s="123">
        <f t="shared" si="341"/>
        <v>19.8</v>
      </c>
      <c r="S152" s="123">
        <f>R152/Q152*100</f>
        <v>100</v>
      </c>
      <c r="T152" s="123">
        <f t="shared" ref="T152:U152" si="342">SUM(T153:T155)</f>
        <v>15.4</v>
      </c>
      <c r="U152" s="123">
        <f t="shared" si="342"/>
        <v>15.4</v>
      </c>
      <c r="V152" s="123">
        <f>U152/T152*100</f>
        <v>100</v>
      </c>
      <c r="W152" s="123">
        <f t="shared" ref="W152:AA152" si="343">SUM(W153:W155)</f>
        <v>16</v>
      </c>
      <c r="X152" s="123">
        <f t="shared" si="343"/>
        <v>9.1</v>
      </c>
      <c r="Y152" s="123">
        <f t="shared" si="343"/>
        <v>56.875</v>
      </c>
      <c r="Z152" s="123">
        <f t="shared" si="343"/>
        <v>5.9</v>
      </c>
      <c r="AA152" s="123">
        <f t="shared" si="343"/>
        <v>5.9</v>
      </c>
      <c r="AB152" s="117">
        <f t="shared" ref="AB152:AB154" si="344">AA152/Z152*100</f>
        <v>100</v>
      </c>
      <c r="AC152" s="123">
        <f t="shared" ref="AC152:AD152" si="345">SUM(AC153:AC155)</f>
        <v>4.4000000000000004</v>
      </c>
      <c r="AD152" s="123">
        <f t="shared" si="345"/>
        <v>4.4000000000000004</v>
      </c>
      <c r="AE152" s="123">
        <f t="shared" ref="AE152:AE154" si="346">AD152/AC152*100</f>
        <v>100</v>
      </c>
      <c r="AF152" s="123">
        <f t="shared" ref="AF152:AG152" si="347">SUM(AF153:AF155)</f>
        <v>19.7</v>
      </c>
      <c r="AG152" s="123">
        <f t="shared" si="347"/>
        <v>8.3000000000000007</v>
      </c>
      <c r="AH152" s="123">
        <f t="shared" ref="AH152:AH154" si="348">AG152/AF152*100</f>
        <v>42.131979695431475</v>
      </c>
      <c r="AI152" s="123">
        <f t="shared" ref="AI152:AP152" si="349">SUM(AI153:AI155)</f>
        <v>7.9</v>
      </c>
      <c r="AJ152" s="123">
        <f t="shared" si="349"/>
        <v>7.9</v>
      </c>
      <c r="AK152" s="123">
        <f>AJ152/AI152*100</f>
        <v>100</v>
      </c>
      <c r="AL152" s="123">
        <f t="shared" si="349"/>
        <v>126.80000000000001</v>
      </c>
      <c r="AM152" s="123">
        <f t="shared" si="349"/>
        <v>126.80000000000001</v>
      </c>
      <c r="AN152" s="117">
        <f>AM152/AL152*100</f>
        <v>100</v>
      </c>
      <c r="AO152" s="123">
        <f t="shared" si="349"/>
        <v>82.4</v>
      </c>
      <c r="AP152" s="123">
        <f t="shared" si="349"/>
        <v>74.599999999999994</v>
      </c>
      <c r="AQ152" s="123">
        <f>AP152/AO152*100</f>
        <v>90.533980582524251</v>
      </c>
      <c r="AR152" s="431"/>
      <c r="AS152" s="432"/>
      <c r="AT152" s="121"/>
      <c r="AU152" s="121"/>
      <c r="AV152" s="155"/>
    </row>
    <row r="153" spans="1:48" s="31" customFormat="1" ht="48">
      <c r="A153" s="430"/>
      <c r="B153" s="430"/>
      <c r="C153" s="430"/>
      <c r="D153" s="225" t="s">
        <v>442</v>
      </c>
      <c r="E153" s="123">
        <f>H153+K153+N153+Q153+T153+W153+Z153+AC153+AF153+AI153+AL153+AO153</f>
        <v>116.4</v>
      </c>
      <c r="F153" s="123">
        <f>I153+L153+O153+R153+U153+X153+AA153+AD153+AG153+AJ153+AM153+AP153</f>
        <v>116.4</v>
      </c>
      <c r="G153" s="123">
        <f t="shared" si="337"/>
        <v>100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3">
        <v>0</v>
      </c>
      <c r="O153" s="123">
        <v>0</v>
      </c>
      <c r="P153" s="123">
        <v>0</v>
      </c>
      <c r="Q153" s="123">
        <v>0</v>
      </c>
      <c r="R153" s="123">
        <v>0</v>
      </c>
      <c r="S153" s="123">
        <v>0</v>
      </c>
      <c r="T153" s="123">
        <v>0</v>
      </c>
      <c r="U153" s="123">
        <v>0</v>
      </c>
      <c r="V153" s="117">
        <v>0</v>
      </c>
      <c r="W153" s="123">
        <v>0</v>
      </c>
      <c r="X153" s="123">
        <v>0</v>
      </c>
      <c r="Y153" s="117">
        <v>0</v>
      </c>
      <c r="Z153" s="123">
        <v>0</v>
      </c>
      <c r="AA153" s="123">
        <v>0</v>
      </c>
      <c r="AB153" s="117">
        <v>0</v>
      </c>
      <c r="AC153" s="123">
        <v>0</v>
      </c>
      <c r="AD153" s="123">
        <v>0</v>
      </c>
      <c r="AE153" s="117">
        <v>0</v>
      </c>
      <c r="AF153" s="123">
        <v>0</v>
      </c>
      <c r="AG153" s="123">
        <v>0</v>
      </c>
      <c r="AH153" s="123">
        <v>0</v>
      </c>
      <c r="AI153" s="123">
        <v>0</v>
      </c>
      <c r="AJ153" s="123">
        <v>0</v>
      </c>
      <c r="AK153" s="249">
        <v>0</v>
      </c>
      <c r="AL153" s="123">
        <v>116.4</v>
      </c>
      <c r="AM153" s="123">
        <v>116.4</v>
      </c>
      <c r="AN153" s="249">
        <f>AM153/AL153*100</f>
        <v>100</v>
      </c>
      <c r="AO153" s="123">
        <v>0</v>
      </c>
      <c r="AP153" s="123">
        <v>0</v>
      </c>
      <c r="AQ153" s="123">
        <v>0</v>
      </c>
      <c r="AR153" s="431"/>
      <c r="AS153" s="432"/>
      <c r="AT153" s="121"/>
      <c r="AU153" s="121"/>
      <c r="AV153" s="155"/>
    </row>
    <row r="154" spans="1:48" s="31" customFormat="1" ht="23.25" customHeight="1">
      <c r="A154" s="430"/>
      <c r="B154" s="430"/>
      <c r="C154" s="430"/>
      <c r="D154" s="225" t="s">
        <v>463</v>
      </c>
      <c r="E154" s="123">
        <f t="shared" ref="E154:E155" si="350">H154+K154+N154+Q154+T154+W154+Z154+AC154+AF154+AI154+AL154+AO154</f>
        <v>260.89999999999998</v>
      </c>
      <c r="F154" s="123">
        <f t="shared" ref="F154:F155" si="351">I154+L154+O154+R154+U154+X154+AA154+AD154+AG154+AJ154+AM154+AP154</f>
        <v>234.20000000000002</v>
      </c>
      <c r="G154" s="123">
        <f t="shared" si="337"/>
        <v>89.76619394403987</v>
      </c>
      <c r="H154" s="123">
        <v>0</v>
      </c>
      <c r="I154" s="123">
        <v>0</v>
      </c>
      <c r="J154" s="123">
        <v>0</v>
      </c>
      <c r="K154" s="123">
        <v>52</v>
      </c>
      <c r="L154" s="123">
        <v>52</v>
      </c>
      <c r="M154" s="123">
        <f t="shared" ref="M154" si="352">L154/K154*100</f>
        <v>100</v>
      </c>
      <c r="N154" s="123">
        <v>27</v>
      </c>
      <c r="O154" s="123">
        <v>26.4</v>
      </c>
      <c r="P154" s="123">
        <f t="shared" ref="P154" si="353">O154/N154*100</f>
        <v>97.777777777777771</v>
      </c>
      <c r="Q154" s="123">
        <v>19.8</v>
      </c>
      <c r="R154" s="123">
        <v>19.8</v>
      </c>
      <c r="S154" s="123">
        <f t="shared" ref="S154" si="354">R154/Q154*100</f>
        <v>100</v>
      </c>
      <c r="T154" s="123">
        <v>15.4</v>
      </c>
      <c r="U154" s="123">
        <v>15.4</v>
      </c>
      <c r="V154" s="117">
        <f t="shared" ref="V154" si="355">U154/T154*100</f>
        <v>100</v>
      </c>
      <c r="W154" s="123">
        <v>16</v>
      </c>
      <c r="X154" s="123">
        <v>9.1</v>
      </c>
      <c r="Y154" s="117">
        <f t="shared" ref="Y154" si="356">X154/W154*100</f>
        <v>56.875</v>
      </c>
      <c r="Z154" s="123">
        <v>5.9</v>
      </c>
      <c r="AA154" s="123">
        <v>5.9</v>
      </c>
      <c r="AB154" s="117">
        <f t="shared" si="344"/>
        <v>100</v>
      </c>
      <c r="AC154" s="123">
        <v>4.4000000000000004</v>
      </c>
      <c r="AD154" s="123">
        <v>4.4000000000000004</v>
      </c>
      <c r="AE154" s="117">
        <f t="shared" si="346"/>
        <v>100</v>
      </c>
      <c r="AF154" s="123">
        <v>19.7</v>
      </c>
      <c r="AG154" s="123">
        <v>8.3000000000000007</v>
      </c>
      <c r="AH154" s="123">
        <f t="shared" si="348"/>
        <v>42.131979695431475</v>
      </c>
      <c r="AI154" s="123">
        <v>7.9</v>
      </c>
      <c r="AJ154" s="123">
        <v>7.9</v>
      </c>
      <c r="AK154" s="123">
        <f>AJ154/AI154*100</f>
        <v>100</v>
      </c>
      <c r="AL154" s="123">
        <v>10.4</v>
      </c>
      <c r="AM154" s="123">
        <v>10.4</v>
      </c>
      <c r="AN154" s="117">
        <f>AM154/AL154*100</f>
        <v>100</v>
      </c>
      <c r="AO154" s="123">
        <v>82.4</v>
      </c>
      <c r="AP154" s="123">
        <v>74.599999999999994</v>
      </c>
      <c r="AQ154" s="123">
        <f>AP154/AO154*100</f>
        <v>90.533980582524251</v>
      </c>
      <c r="AR154" s="431"/>
      <c r="AS154" s="432"/>
      <c r="AT154" s="121"/>
      <c r="AU154" s="121"/>
      <c r="AV154" s="155"/>
    </row>
    <row r="155" spans="1:48" s="31" customFormat="1" ht="30.75" customHeight="1">
      <c r="A155" s="430"/>
      <c r="B155" s="430"/>
      <c r="C155" s="430"/>
      <c r="D155" s="143" t="s">
        <v>257</v>
      </c>
      <c r="E155" s="123">
        <f t="shared" si="350"/>
        <v>0</v>
      </c>
      <c r="F155" s="123">
        <f t="shared" si="351"/>
        <v>0</v>
      </c>
      <c r="G155" s="123">
        <v>0</v>
      </c>
      <c r="H155" s="123">
        <v>0</v>
      </c>
      <c r="I155" s="123">
        <v>0</v>
      </c>
      <c r="J155" s="123">
        <v>0</v>
      </c>
      <c r="K155" s="123">
        <v>0</v>
      </c>
      <c r="L155" s="123">
        <v>0</v>
      </c>
      <c r="M155" s="123">
        <v>0</v>
      </c>
      <c r="N155" s="123">
        <v>0</v>
      </c>
      <c r="O155" s="123">
        <v>0</v>
      </c>
      <c r="P155" s="123">
        <v>0</v>
      </c>
      <c r="Q155" s="123">
        <v>0</v>
      </c>
      <c r="R155" s="123">
        <v>0</v>
      </c>
      <c r="S155" s="123">
        <v>0</v>
      </c>
      <c r="T155" s="123">
        <v>0</v>
      </c>
      <c r="U155" s="123">
        <v>0</v>
      </c>
      <c r="V155" s="117">
        <v>0</v>
      </c>
      <c r="W155" s="123">
        <v>0</v>
      </c>
      <c r="X155" s="123">
        <v>0</v>
      </c>
      <c r="Y155" s="117">
        <v>0</v>
      </c>
      <c r="Z155" s="123">
        <v>0</v>
      </c>
      <c r="AA155" s="123">
        <v>0</v>
      </c>
      <c r="AB155" s="117">
        <v>0</v>
      </c>
      <c r="AC155" s="123">
        <v>0</v>
      </c>
      <c r="AD155" s="123">
        <v>0</v>
      </c>
      <c r="AE155" s="117">
        <v>0</v>
      </c>
      <c r="AF155" s="123">
        <v>0</v>
      </c>
      <c r="AG155" s="123">
        <v>0</v>
      </c>
      <c r="AH155" s="123">
        <v>0</v>
      </c>
      <c r="AI155" s="123">
        <v>0</v>
      </c>
      <c r="AJ155" s="123">
        <v>0</v>
      </c>
      <c r="AK155" s="123">
        <v>0</v>
      </c>
      <c r="AL155" s="123">
        <v>0</v>
      </c>
      <c r="AM155" s="123">
        <v>0</v>
      </c>
      <c r="AN155" s="117">
        <v>0</v>
      </c>
      <c r="AO155" s="123">
        <v>0</v>
      </c>
      <c r="AP155" s="123">
        <v>0</v>
      </c>
      <c r="AQ155" s="123">
        <v>0</v>
      </c>
      <c r="AR155" s="431"/>
      <c r="AS155" s="432"/>
      <c r="AT155" s="121"/>
      <c r="AU155" s="121"/>
      <c r="AV155" s="155"/>
    </row>
    <row r="156" spans="1:48" s="31" customFormat="1" ht="27.75" customHeight="1">
      <c r="A156" s="430"/>
      <c r="B156" s="430"/>
      <c r="C156" s="430"/>
      <c r="D156" s="143" t="s">
        <v>469</v>
      </c>
      <c r="E156" s="123">
        <f>H156+K156+N156+Q156+T156+W156+Z156+AC156+AF156+AI156+AL156+AO156</f>
        <v>0</v>
      </c>
      <c r="F156" s="123">
        <f>I156+L156+O156+R156+U156+X156+AA156+AD156+AG156+AJ156+AM156+AP156</f>
        <v>0</v>
      </c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  <c r="P156" s="123">
        <v>0</v>
      </c>
      <c r="Q156" s="123"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17">
        <v>0</v>
      </c>
      <c r="Z156" s="123">
        <v>0</v>
      </c>
      <c r="AA156" s="123">
        <v>0</v>
      </c>
      <c r="AB156" s="117">
        <v>0</v>
      </c>
      <c r="AC156" s="123">
        <v>0</v>
      </c>
      <c r="AD156" s="123">
        <v>0</v>
      </c>
      <c r="AE156" s="117">
        <v>0</v>
      </c>
      <c r="AF156" s="123">
        <v>0</v>
      </c>
      <c r="AG156" s="123">
        <v>0</v>
      </c>
      <c r="AH156" s="123">
        <v>0</v>
      </c>
      <c r="AI156" s="123">
        <v>0</v>
      </c>
      <c r="AJ156" s="123">
        <v>0</v>
      </c>
      <c r="AK156" s="123">
        <v>0</v>
      </c>
      <c r="AL156" s="123">
        <v>0</v>
      </c>
      <c r="AM156" s="123">
        <v>0</v>
      </c>
      <c r="AN156" s="117">
        <v>0</v>
      </c>
      <c r="AO156" s="123">
        <v>0</v>
      </c>
      <c r="AP156" s="123">
        <v>0</v>
      </c>
      <c r="AQ156" s="123">
        <v>0</v>
      </c>
      <c r="AR156" s="431"/>
      <c r="AS156" s="432"/>
      <c r="AT156" s="121"/>
      <c r="AU156" s="121"/>
      <c r="AV156" s="155"/>
    </row>
    <row r="157" spans="1:48" s="31" customFormat="1" ht="12.75" customHeight="1">
      <c r="A157" s="430" t="s">
        <v>506</v>
      </c>
      <c r="B157" s="430"/>
      <c r="C157" s="430"/>
      <c r="D157" s="143" t="s">
        <v>444</v>
      </c>
      <c r="E157" s="123">
        <f>SUM(E158:E160)</f>
        <v>62252.5</v>
      </c>
      <c r="F157" s="123">
        <f t="shared" ref="F157" si="357">SUM(F158:F160)</f>
        <v>62250.2</v>
      </c>
      <c r="G157" s="123">
        <f t="shared" ref="G157:G158" si="358">F157/E157*100</f>
        <v>99.996305369262274</v>
      </c>
      <c r="H157" s="123">
        <f t="shared" ref="H157:I157" si="359">SUM(H158:H160)</f>
        <v>0</v>
      </c>
      <c r="I157" s="123">
        <f t="shared" si="359"/>
        <v>0</v>
      </c>
      <c r="J157" s="123">
        <v>0</v>
      </c>
      <c r="K157" s="123">
        <f t="shared" ref="K157:L157" si="360">SUM(K158:K160)</f>
        <v>4627.8</v>
      </c>
      <c r="L157" s="123">
        <f t="shared" si="360"/>
        <v>4627.8</v>
      </c>
      <c r="M157" s="123">
        <f>L157/K157*100</f>
        <v>100</v>
      </c>
      <c r="N157" s="123">
        <f t="shared" ref="N157:O157" si="361">SUM(N158:N160)</f>
        <v>6072.2</v>
      </c>
      <c r="O157" s="123">
        <f t="shared" si="361"/>
        <v>5138.6000000000004</v>
      </c>
      <c r="P157" s="123">
        <f>O157/N157*100</f>
        <v>84.625012351371836</v>
      </c>
      <c r="Q157" s="123">
        <f t="shared" ref="Q157:R157" si="362">SUM(Q158:Q160)</f>
        <v>5153.1000000000004</v>
      </c>
      <c r="R157" s="123">
        <f t="shared" si="362"/>
        <v>5153.1000000000004</v>
      </c>
      <c r="S157" s="123">
        <f>R157/Q157*100</f>
        <v>100</v>
      </c>
      <c r="T157" s="123">
        <f t="shared" ref="T157:U157" si="363">SUM(T158:T160)</f>
        <v>5096.5</v>
      </c>
      <c r="U157" s="123">
        <f t="shared" si="363"/>
        <v>5096.5</v>
      </c>
      <c r="V157" s="123">
        <f>U157/T157*100</f>
        <v>100</v>
      </c>
      <c r="W157" s="123">
        <f t="shared" ref="W157:AA157" si="364">SUM(W158:W160)</f>
        <v>4852.8999999999996</v>
      </c>
      <c r="X157" s="123">
        <f t="shared" si="364"/>
        <v>5760.6</v>
      </c>
      <c r="Y157" s="123">
        <f t="shared" si="364"/>
        <v>118.70427991510233</v>
      </c>
      <c r="Z157" s="123">
        <f t="shared" si="364"/>
        <v>5030.5</v>
      </c>
      <c r="AA157" s="123">
        <f t="shared" si="364"/>
        <v>5030.5</v>
      </c>
      <c r="AB157" s="117">
        <f t="shared" ref="AB157:AB158" si="365">AA157/Z157*100</f>
        <v>100</v>
      </c>
      <c r="AC157" s="123">
        <f t="shared" ref="AC157:AD157" si="366">SUM(AC158:AC160)</f>
        <v>6379.3</v>
      </c>
      <c r="AD157" s="123">
        <f t="shared" si="366"/>
        <v>6379.3</v>
      </c>
      <c r="AE157" s="123">
        <f t="shared" ref="AE157:AE158" si="367">AD157/AC157*100</f>
        <v>100</v>
      </c>
      <c r="AF157" s="123">
        <f t="shared" ref="AF157:AG157" si="368">SUM(AF158:AF160)</f>
        <v>5590.2</v>
      </c>
      <c r="AG157" s="123">
        <f t="shared" si="368"/>
        <v>4939.1000000000004</v>
      </c>
      <c r="AH157" s="123">
        <f t="shared" ref="AH157:AH158" si="369">AG157/AF157*100</f>
        <v>88.352831741261511</v>
      </c>
      <c r="AI157" s="123">
        <f t="shared" ref="AI157:AQ157" si="370">SUM(AI158:AI160)</f>
        <v>4939</v>
      </c>
      <c r="AJ157" s="123">
        <f t="shared" si="370"/>
        <v>4939</v>
      </c>
      <c r="AK157" s="123">
        <f t="shared" si="370"/>
        <v>100</v>
      </c>
      <c r="AL157" s="123">
        <f t="shared" si="370"/>
        <v>5051</v>
      </c>
      <c r="AM157" s="123">
        <f t="shared" si="370"/>
        <v>5051</v>
      </c>
      <c r="AN157" s="123">
        <f t="shared" si="370"/>
        <v>100</v>
      </c>
      <c r="AO157" s="123">
        <f t="shared" si="370"/>
        <v>9460</v>
      </c>
      <c r="AP157" s="123">
        <f t="shared" si="370"/>
        <v>10134.700000000001</v>
      </c>
      <c r="AQ157" s="123">
        <f t="shared" si="370"/>
        <v>107.13213530655392</v>
      </c>
      <c r="AR157" s="431"/>
      <c r="AS157" s="432"/>
      <c r="AT157" s="121"/>
      <c r="AU157" s="121"/>
      <c r="AV157" s="155"/>
    </row>
    <row r="158" spans="1:48" s="31" customFormat="1" ht="48">
      <c r="A158" s="430"/>
      <c r="B158" s="430"/>
      <c r="C158" s="430"/>
      <c r="D158" s="225" t="s">
        <v>442</v>
      </c>
      <c r="E158" s="123">
        <f>H158+K158+N158+Q158+T158+W158+Z158+AC158+AF158+AI158+AL158+AO158</f>
        <v>62252.5</v>
      </c>
      <c r="F158" s="123">
        <f>I158+L158+O158+R158+U158+X158+AA158+AD158+AG158+AJ158+AM158+AP158</f>
        <v>62250.2</v>
      </c>
      <c r="G158" s="123">
        <f t="shared" si="358"/>
        <v>99.996305369262274</v>
      </c>
      <c r="H158" s="123">
        <v>0</v>
      </c>
      <c r="I158" s="123">
        <v>0</v>
      </c>
      <c r="J158" s="123">
        <v>0</v>
      </c>
      <c r="K158" s="123">
        <v>4627.8</v>
      </c>
      <c r="L158" s="123">
        <v>4627.8</v>
      </c>
      <c r="M158" s="123">
        <f>L158/K158*100</f>
        <v>100</v>
      </c>
      <c r="N158" s="123">
        <v>6072.2</v>
      </c>
      <c r="O158" s="123">
        <v>5138.6000000000004</v>
      </c>
      <c r="P158" s="123">
        <f>O158/N158*100</f>
        <v>84.625012351371836</v>
      </c>
      <c r="Q158" s="123">
        <v>5153.1000000000004</v>
      </c>
      <c r="R158" s="123">
        <v>5153.1000000000004</v>
      </c>
      <c r="S158" s="123">
        <f>R158/Q158*100</f>
        <v>100</v>
      </c>
      <c r="T158" s="123">
        <v>5096.5</v>
      </c>
      <c r="U158" s="123">
        <v>5096.5</v>
      </c>
      <c r="V158" s="117">
        <f t="shared" ref="V158" si="371">U158/T158*100</f>
        <v>100</v>
      </c>
      <c r="W158" s="123">
        <v>4852.8999999999996</v>
      </c>
      <c r="X158" s="123">
        <v>5760.6</v>
      </c>
      <c r="Y158" s="117">
        <f t="shared" ref="Y158" si="372">X158/W158*100</f>
        <v>118.70427991510233</v>
      </c>
      <c r="Z158" s="123">
        <v>5030.5</v>
      </c>
      <c r="AA158" s="123">
        <v>5030.5</v>
      </c>
      <c r="AB158" s="117">
        <f t="shared" si="365"/>
        <v>100</v>
      </c>
      <c r="AC158" s="123">
        <v>6379.3</v>
      </c>
      <c r="AD158" s="123">
        <v>6379.3</v>
      </c>
      <c r="AE158" s="117">
        <f t="shared" si="367"/>
        <v>100</v>
      </c>
      <c r="AF158" s="123">
        <v>5590.2</v>
      </c>
      <c r="AG158" s="123">
        <v>4939.1000000000004</v>
      </c>
      <c r="AH158" s="123">
        <f t="shared" si="369"/>
        <v>88.352831741261511</v>
      </c>
      <c r="AI158" s="123">
        <v>4939</v>
      </c>
      <c r="AJ158" s="123">
        <v>4939</v>
      </c>
      <c r="AK158" s="249">
        <f>AJ158/AI158*100</f>
        <v>100</v>
      </c>
      <c r="AL158" s="123">
        <v>5051</v>
      </c>
      <c r="AM158" s="123">
        <v>5051</v>
      </c>
      <c r="AN158" s="249">
        <f>AM158/AL158*100</f>
        <v>100</v>
      </c>
      <c r="AO158" s="123">
        <v>9460</v>
      </c>
      <c r="AP158" s="123">
        <v>10134.700000000001</v>
      </c>
      <c r="AQ158" s="123">
        <f>AP158/AO158*100</f>
        <v>107.13213530655392</v>
      </c>
      <c r="AR158" s="431"/>
      <c r="AS158" s="432"/>
      <c r="AT158" s="121"/>
      <c r="AU158" s="121"/>
      <c r="AV158" s="155"/>
    </row>
    <row r="159" spans="1:48" s="31" customFormat="1" ht="23.25" customHeight="1">
      <c r="A159" s="430"/>
      <c r="B159" s="430"/>
      <c r="C159" s="430"/>
      <c r="D159" s="225" t="s">
        <v>463</v>
      </c>
      <c r="E159" s="123">
        <f t="shared" ref="E159:E160" si="373">H159+K159+N159+Q159+T159+W159+Z159+AC159+AF159+AI159+AL159+AO159</f>
        <v>0</v>
      </c>
      <c r="F159" s="123">
        <f t="shared" ref="F159:F160" si="374">I159+L159+O159+R159+U159+X159+AA159+AD159+AG159+AJ159+AM159+AP159</f>
        <v>0</v>
      </c>
      <c r="G159" s="123">
        <v>0</v>
      </c>
      <c r="H159" s="123">
        <v>0</v>
      </c>
      <c r="I159" s="123">
        <v>0</v>
      </c>
      <c r="J159" s="123">
        <v>0</v>
      </c>
      <c r="K159" s="123">
        <v>0</v>
      </c>
      <c r="L159" s="123">
        <v>0</v>
      </c>
      <c r="M159" s="123">
        <v>0</v>
      </c>
      <c r="N159" s="123">
        <v>0</v>
      </c>
      <c r="O159" s="123">
        <v>0</v>
      </c>
      <c r="P159" s="123">
        <v>0</v>
      </c>
      <c r="Q159" s="123">
        <v>0</v>
      </c>
      <c r="R159" s="123">
        <v>0</v>
      </c>
      <c r="S159" s="123">
        <v>0</v>
      </c>
      <c r="T159" s="123">
        <v>0</v>
      </c>
      <c r="U159" s="123">
        <v>0</v>
      </c>
      <c r="V159" s="117">
        <v>0</v>
      </c>
      <c r="W159" s="123">
        <v>0</v>
      </c>
      <c r="X159" s="123">
        <v>0</v>
      </c>
      <c r="Y159" s="117">
        <v>0</v>
      </c>
      <c r="Z159" s="123">
        <v>0</v>
      </c>
      <c r="AA159" s="123">
        <v>0</v>
      </c>
      <c r="AB159" s="117">
        <v>0</v>
      </c>
      <c r="AC159" s="123">
        <v>0</v>
      </c>
      <c r="AD159" s="123">
        <v>0</v>
      </c>
      <c r="AE159" s="117">
        <v>0</v>
      </c>
      <c r="AF159" s="123">
        <v>0</v>
      </c>
      <c r="AG159" s="123">
        <v>0</v>
      </c>
      <c r="AH159" s="123">
        <v>0</v>
      </c>
      <c r="AI159" s="123">
        <v>0</v>
      </c>
      <c r="AJ159" s="123">
        <v>0</v>
      </c>
      <c r="AK159" s="123">
        <v>0</v>
      </c>
      <c r="AL159" s="123">
        <v>0</v>
      </c>
      <c r="AM159" s="123">
        <v>0</v>
      </c>
      <c r="AN159" s="117">
        <v>0</v>
      </c>
      <c r="AO159" s="123">
        <v>0</v>
      </c>
      <c r="AP159" s="123">
        <v>0</v>
      </c>
      <c r="AQ159" s="123">
        <v>0</v>
      </c>
      <c r="AR159" s="431"/>
      <c r="AS159" s="432"/>
      <c r="AT159" s="121"/>
      <c r="AU159" s="121"/>
      <c r="AV159" s="155"/>
    </row>
    <row r="160" spans="1:48" s="31" customFormat="1" ht="30.75" customHeight="1">
      <c r="A160" s="430"/>
      <c r="B160" s="430"/>
      <c r="C160" s="430"/>
      <c r="D160" s="143" t="s">
        <v>257</v>
      </c>
      <c r="E160" s="123">
        <f t="shared" si="373"/>
        <v>0</v>
      </c>
      <c r="F160" s="123">
        <f t="shared" si="374"/>
        <v>0</v>
      </c>
      <c r="G160" s="123">
        <v>0</v>
      </c>
      <c r="H160" s="123">
        <v>0</v>
      </c>
      <c r="I160" s="123">
        <v>0</v>
      </c>
      <c r="J160" s="123">
        <v>0</v>
      </c>
      <c r="K160" s="123">
        <v>0</v>
      </c>
      <c r="L160" s="123">
        <v>0</v>
      </c>
      <c r="M160" s="123">
        <v>0</v>
      </c>
      <c r="N160" s="123">
        <v>0</v>
      </c>
      <c r="O160" s="123">
        <v>0</v>
      </c>
      <c r="P160" s="123">
        <v>0</v>
      </c>
      <c r="Q160" s="123">
        <v>0</v>
      </c>
      <c r="R160" s="123">
        <v>0</v>
      </c>
      <c r="S160" s="123">
        <v>0</v>
      </c>
      <c r="T160" s="123">
        <v>0</v>
      </c>
      <c r="U160" s="123">
        <v>0</v>
      </c>
      <c r="V160" s="117">
        <v>0</v>
      </c>
      <c r="W160" s="123">
        <v>0</v>
      </c>
      <c r="X160" s="123">
        <v>0</v>
      </c>
      <c r="Y160" s="117">
        <v>0</v>
      </c>
      <c r="Z160" s="123">
        <v>0</v>
      </c>
      <c r="AA160" s="123">
        <v>0</v>
      </c>
      <c r="AB160" s="117">
        <v>0</v>
      </c>
      <c r="AC160" s="123">
        <v>0</v>
      </c>
      <c r="AD160" s="123">
        <v>0</v>
      </c>
      <c r="AE160" s="117">
        <v>0</v>
      </c>
      <c r="AF160" s="123">
        <v>0</v>
      </c>
      <c r="AG160" s="123">
        <v>0</v>
      </c>
      <c r="AH160" s="123">
        <v>0</v>
      </c>
      <c r="AI160" s="123">
        <v>0</v>
      </c>
      <c r="AJ160" s="123">
        <v>0</v>
      </c>
      <c r="AK160" s="123">
        <v>0</v>
      </c>
      <c r="AL160" s="123">
        <v>0</v>
      </c>
      <c r="AM160" s="123">
        <v>0</v>
      </c>
      <c r="AN160" s="117">
        <v>0</v>
      </c>
      <c r="AO160" s="123">
        <v>0</v>
      </c>
      <c r="AP160" s="123">
        <v>0</v>
      </c>
      <c r="AQ160" s="123">
        <v>0</v>
      </c>
      <c r="AR160" s="431"/>
      <c r="AS160" s="432"/>
      <c r="AT160" s="121"/>
      <c r="AU160" s="121"/>
      <c r="AV160" s="155"/>
    </row>
    <row r="161" spans="1:64" s="31" customFormat="1" ht="27.75" customHeight="1">
      <c r="A161" s="430"/>
      <c r="B161" s="430"/>
      <c r="C161" s="430"/>
      <c r="D161" s="143" t="s">
        <v>469</v>
      </c>
      <c r="E161" s="123">
        <f>H161+K161+N161+Q161+T161+W161+Z161+AC161+AF161+AI161+AL161+AO161</f>
        <v>0</v>
      </c>
      <c r="F161" s="123">
        <f>I161+L161+O161+R161+U161+X161+AA161+AD161+AG161+AJ161+AM161+AP161</f>
        <v>0</v>
      </c>
      <c r="G161" s="123">
        <v>0</v>
      </c>
      <c r="H161" s="123">
        <v>0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3">
        <v>0</v>
      </c>
      <c r="O161" s="123">
        <v>0</v>
      </c>
      <c r="P161" s="123">
        <v>0</v>
      </c>
      <c r="Q161" s="123">
        <v>0</v>
      </c>
      <c r="R161" s="123">
        <v>0</v>
      </c>
      <c r="S161" s="123">
        <v>0</v>
      </c>
      <c r="T161" s="123">
        <v>0</v>
      </c>
      <c r="U161" s="123">
        <v>0</v>
      </c>
      <c r="V161" s="123">
        <v>0</v>
      </c>
      <c r="W161" s="123">
        <v>0</v>
      </c>
      <c r="X161" s="123">
        <v>0</v>
      </c>
      <c r="Y161" s="117">
        <v>0</v>
      </c>
      <c r="Z161" s="123">
        <v>0</v>
      </c>
      <c r="AA161" s="123">
        <v>0</v>
      </c>
      <c r="AB161" s="117">
        <v>0</v>
      </c>
      <c r="AC161" s="123">
        <v>0</v>
      </c>
      <c r="AD161" s="123">
        <v>0</v>
      </c>
      <c r="AE161" s="117">
        <v>0</v>
      </c>
      <c r="AF161" s="123">
        <v>0</v>
      </c>
      <c r="AG161" s="123">
        <v>0</v>
      </c>
      <c r="AH161" s="123">
        <v>0</v>
      </c>
      <c r="AI161" s="123">
        <v>0</v>
      </c>
      <c r="AJ161" s="123">
        <v>0</v>
      </c>
      <c r="AK161" s="123">
        <v>0</v>
      </c>
      <c r="AL161" s="123">
        <v>0</v>
      </c>
      <c r="AM161" s="123">
        <v>0</v>
      </c>
      <c r="AN161" s="117">
        <v>0</v>
      </c>
      <c r="AO161" s="123">
        <v>0</v>
      </c>
      <c r="AP161" s="123">
        <v>0</v>
      </c>
      <c r="AQ161" s="123">
        <v>0</v>
      </c>
      <c r="AR161" s="431"/>
      <c r="AS161" s="432"/>
      <c r="AT161" s="121"/>
      <c r="AU161" s="121"/>
      <c r="AV161" s="155"/>
    </row>
    <row r="162" spans="1:64" s="100" customFormat="1" ht="40.5" customHeight="1">
      <c r="A162" s="461" t="s">
        <v>507</v>
      </c>
      <c r="B162" s="462"/>
      <c r="C162" s="463"/>
      <c r="D162" s="143" t="s">
        <v>443</v>
      </c>
      <c r="E162" s="149" t="s">
        <v>279</v>
      </c>
      <c r="F162" s="149" t="s">
        <v>279</v>
      </c>
      <c r="G162" s="149" t="s">
        <v>279</v>
      </c>
      <c r="H162" s="149" t="s">
        <v>279</v>
      </c>
      <c r="I162" s="149" t="s">
        <v>279</v>
      </c>
      <c r="J162" s="149" t="s">
        <v>279</v>
      </c>
      <c r="K162" s="149" t="s">
        <v>279</v>
      </c>
      <c r="L162" s="149" t="s">
        <v>279</v>
      </c>
      <c r="M162" s="149" t="s">
        <v>279</v>
      </c>
      <c r="N162" s="149" t="s">
        <v>279</v>
      </c>
      <c r="O162" s="149" t="s">
        <v>279</v>
      </c>
      <c r="P162" s="149" t="s">
        <v>279</v>
      </c>
      <c r="Q162" s="149" t="s">
        <v>279</v>
      </c>
      <c r="R162" s="149" t="s">
        <v>279</v>
      </c>
      <c r="S162" s="149" t="s">
        <v>279</v>
      </c>
      <c r="T162" s="149" t="s">
        <v>279</v>
      </c>
      <c r="U162" s="149" t="s">
        <v>279</v>
      </c>
      <c r="V162" s="149" t="s">
        <v>279</v>
      </c>
      <c r="W162" s="149" t="s">
        <v>279</v>
      </c>
      <c r="X162" s="149" t="s">
        <v>279</v>
      </c>
      <c r="Y162" s="149" t="s">
        <v>279</v>
      </c>
      <c r="Z162" s="149" t="s">
        <v>279</v>
      </c>
      <c r="AA162" s="149" t="s">
        <v>279</v>
      </c>
      <c r="AB162" s="149" t="s">
        <v>279</v>
      </c>
      <c r="AC162" s="149" t="s">
        <v>279</v>
      </c>
      <c r="AD162" s="149" t="s">
        <v>279</v>
      </c>
      <c r="AE162" s="149" t="s">
        <v>279</v>
      </c>
      <c r="AF162" s="149" t="s">
        <v>279</v>
      </c>
      <c r="AG162" s="149" t="s">
        <v>279</v>
      </c>
      <c r="AH162" s="149" t="s">
        <v>279</v>
      </c>
      <c r="AI162" s="149" t="s">
        <v>279</v>
      </c>
      <c r="AJ162" s="149" t="s">
        <v>279</v>
      </c>
      <c r="AK162" s="149" t="s">
        <v>279</v>
      </c>
      <c r="AL162" s="149" t="s">
        <v>279</v>
      </c>
      <c r="AM162" s="149" t="s">
        <v>279</v>
      </c>
      <c r="AN162" s="149" t="s">
        <v>279</v>
      </c>
      <c r="AO162" s="149" t="s">
        <v>279</v>
      </c>
      <c r="AP162" s="149"/>
      <c r="AQ162" s="149"/>
      <c r="AR162" s="250"/>
      <c r="AS162" s="134"/>
      <c r="AT162" s="121"/>
      <c r="AU162" s="121"/>
      <c r="AV162" s="155"/>
    </row>
    <row r="163" spans="1:64" ht="17.25" customHeight="1">
      <c r="AR163" s="213"/>
    </row>
    <row r="164" spans="1:64" ht="15" customHeight="1">
      <c r="AR164" s="213"/>
    </row>
    <row r="165" spans="1:64" ht="15" customHeight="1">
      <c r="AR165" s="213"/>
    </row>
    <row r="166" spans="1:64" s="31" customFormat="1" ht="15.75">
      <c r="A166" s="236" t="s">
        <v>436</v>
      </c>
      <c r="B166" s="232"/>
      <c r="C166" s="232"/>
      <c r="D166" s="29"/>
      <c r="E166" s="101"/>
      <c r="F166" s="233"/>
      <c r="G166" s="234" t="s">
        <v>437</v>
      </c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235"/>
      <c r="BI166" s="151"/>
      <c r="BJ166" s="151"/>
      <c r="BK166" s="151"/>
      <c r="BL166" s="151"/>
    </row>
    <row r="167" spans="1:64" s="31" customFormat="1" ht="15.75">
      <c r="A167" s="456" t="s">
        <v>438</v>
      </c>
      <c r="B167" s="456"/>
      <c r="C167" s="456"/>
      <c r="D167" s="29"/>
      <c r="E167" s="101"/>
      <c r="F167" s="233"/>
      <c r="G167" s="234" t="s">
        <v>439</v>
      </c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</row>
    <row r="168" spans="1:64" s="31" customFormat="1" ht="15.75">
      <c r="A168" s="237"/>
      <c r="B168" s="234"/>
      <c r="C168" s="234"/>
      <c r="D168" s="29"/>
      <c r="E168" s="101"/>
      <c r="F168" s="146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</row>
    <row r="169" spans="1:64" s="31" customFormat="1" ht="42.75" customHeight="1">
      <c r="A169" s="457" t="s">
        <v>440</v>
      </c>
      <c r="B169" s="457"/>
      <c r="C169" s="457"/>
      <c r="D169" s="457"/>
      <c r="E169" s="457"/>
      <c r="F169" s="233"/>
      <c r="G169" s="234" t="s">
        <v>508</v>
      </c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</row>
    <row r="170" spans="1:64" s="31" customFormat="1" ht="15.75">
      <c r="A170" s="215"/>
      <c r="B170" s="151"/>
      <c r="C170" s="151"/>
      <c r="D170" s="29"/>
      <c r="E170" s="101"/>
      <c r="F170" s="101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</row>
    <row r="171" spans="1:64" ht="15" customHeight="1">
      <c r="AR171" s="213"/>
    </row>
    <row r="172" spans="1:64" ht="15" customHeight="1">
      <c r="AR172" s="213"/>
    </row>
    <row r="173" spans="1:64" ht="15" customHeight="1">
      <c r="AR173" s="213"/>
    </row>
    <row r="174" spans="1:64" ht="15" customHeight="1">
      <c r="AR174" s="213"/>
    </row>
    <row r="175" spans="1:64" ht="15" customHeight="1">
      <c r="AR175" s="213"/>
    </row>
    <row r="176" spans="1:64" ht="15" customHeight="1">
      <c r="AR176" s="213"/>
    </row>
    <row r="177" spans="44:44" ht="15" customHeight="1">
      <c r="AR177" s="213"/>
    </row>
    <row r="178" spans="44:44">
      <c r="AR178" s="213"/>
    </row>
    <row r="179" spans="44:44">
      <c r="AR179" s="213"/>
    </row>
    <row r="180" spans="44:44">
      <c r="AR180" s="213"/>
    </row>
    <row r="181" spans="44:44">
      <c r="AR181" s="213"/>
    </row>
    <row r="182" spans="44:44">
      <c r="AR182" s="213"/>
    </row>
    <row r="183" spans="44:44">
      <c r="AR183" s="213"/>
    </row>
    <row r="184" spans="44:44">
      <c r="AR184" s="213"/>
    </row>
    <row r="185" spans="44:44">
      <c r="AR185" s="213"/>
    </row>
    <row r="186" spans="44:44">
      <c r="AR186" s="213"/>
    </row>
    <row r="187" spans="44:44">
      <c r="AR187" s="213"/>
    </row>
    <row r="188" spans="44:44">
      <c r="AR188" s="213"/>
    </row>
    <row r="189" spans="44:44">
      <c r="AR189" s="213"/>
    </row>
    <row r="190" spans="44:44">
      <c r="AR190" s="213"/>
    </row>
    <row r="191" spans="44:44">
      <c r="AR191" s="213"/>
    </row>
    <row r="192" spans="44:44">
      <c r="AR192" s="213"/>
    </row>
    <row r="193" spans="44:44">
      <c r="AR193" s="213"/>
    </row>
    <row r="194" spans="44:44">
      <c r="AR194" s="213"/>
    </row>
    <row r="195" spans="44:44">
      <c r="AR195" s="213"/>
    </row>
    <row r="196" spans="44:44">
      <c r="AR196" s="213"/>
    </row>
    <row r="197" spans="44:44">
      <c r="AR197" s="213"/>
    </row>
    <row r="198" spans="44:44">
      <c r="AR198" s="213"/>
    </row>
    <row r="199" spans="44:44">
      <c r="AR199" s="213"/>
    </row>
    <row r="200" spans="44:44">
      <c r="AR200" s="213"/>
    </row>
    <row r="201" spans="44:44">
      <c r="AR201" s="213"/>
    </row>
    <row r="202" spans="44:44">
      <c r="AR202" s="213"/>
    </row>
    <row r="203" spans="44:44">
      <c r="AR203" s="213"/>
    </row>
    <row r="204" spans="44:44">
      <c r="AR204" s="213"/>
    </row>
    <row r="205" spans="44:44">
      <c r="AR205" s="213"/>
    </row>
    <row r="206" spans="44:44">
      <c r="AR206" s="213"/>
    </row>
    <row r="207" spans="44:44">
      <c r="AR207" s="213"/>
    </row>
    <row r="208" spans="44:44">
      <c r="AR208" s="213"/>
    </row>
    <row r="209" spans="44:44">
      <c r="AR209" s="213"/>
    </row>
    <row r="210" spans="44:44">
      <c r="AR210" s="213"/>
    </row>
    <row r="211" spans="44:44">
      <c r="AR211" s="213"/>
    </row>
    <row r="212" spans="44:44">
      <c r="AR212" s="213"/>
    </row>
    <row r="213" spans="44:44">
      <c r="AR213" s="213"/>
    </row>
    <row r="214" spans="44:44">
      <c r="AR214" s="213"/>
    </row>
    <row r="215" spans="44:44">
      <c r="AR215" s="213"/>
    </row>
    <row r="216" spans="44:44">
      <c r="AR216" s="213"/>
    </row>
    <row r="217" spans="44:44">
      <c r="AR217" s="213"/>
    </row>
    <row r="218" spans="44:44">
      <c r="AR218" s="213"/>
    </row>
    <row r="219" spans="44:44">
      <c r="AR219" s="213"/>
    </row>
    <row r="220" spans="44:44">
      <c r="AR220" s="213"/>
    </row>
    <row r="221" spans="44:44">
      <c r="AR221" s="213"/>
    </row>
    <row r="222" spans="44:44">
      <c r="AR222" s="213"/>
    </row>
    <row r="223" spans="44:44">
      <c r="AR223" s="213"/>
    </row>
    <row r="224" spans="44:44">
      <c r="AR224" s="213"/>
    </row>
    <row r="225" spans="44:44">
      <c r="AR225" s="213"/>
    </row>
    <row r="226" spans="44:44">
      <c r="AR226" s="213"/>
    </row>
    <row r="227" spans="44:44">
      <c r="AR227" s="213"/>
    </row>
    <row r="228" spans="44:44">
      <c r="AR228" s="213"/>
    </row>
    <row r="229" spans="44:44">
      <c r="AR229" s="213"/>
    </row>
    <row r="230" spans="44:44">
      <c r="AR230" s="213"/>
    </row>
    <row r="231" spans="44:44">
      <c r="AR231" s="213"/>
    </row>
    <row r="232" spans="44:44">
      <c r="AR232" s="213"/>
    </row>
    <row r="233" spans="44:44">
      <c r="AR233" s="213"/>
    </row>
    <row r="234" spans="44:44">
      <c r="AR234" s="213"/>
    </row>
    <row r="235" spans="44:44">
      <c r="AR235" s="213"/>
    </row>
  </sheetData>
  <mergeCells count="131">
    <mergeCell ref="A7:AS7"/>
    <mergeCell ref="A8:AS8"/>
    <mergeCell ref="A9:AQ9"/>
    <mergeCell ref="A11:A12"/>
    <mergeCell ref="B11:B12"/>
    <mergeCell ref="C11:C12"/>
    <mergeCell ref="D11:D12"/>
    <mergeCell ref="E11:G11"/>
    <mergeCell ref="H11:J11"/>
    <mergeCell ref="K11:M11"/>
    <mergeCell ref="N11:P11"/>
    <mergeCell ref="Q11:S11"/>
    <mergeCell ref="T11:V11"/>
    <mergeCell ref="W11:Y11"/>
    <mergeCell ref="AS11:AS12"/>
    <mergeCell ref="AS18:AS22"/>
    <mergeCell ref="AS23:AS27"/>
    <mergeCell ref="A28:A32"/>
    <mergeCell ref="AS13:AS17"/>
    <mergeCell ref="AC11:AE11"/>
    <mergeCell ref="AF11:AH11"/>
    <mergeCell ref="AI11:AK11"/>
    <mergeCell ref="AL11:AN11"/>
    <mergeCell ref="AO11:AQ11"/>
    <mergeCell ref="AR11:AR12"/>
    <mergeCell ref="Z11:AB11"/>
    <mergeCell ref="AR23:AR27"/>
    <mergeCell ref="A13:A17"/>
    <mergeCell ref="B13:C17"/>
    <mergeCell ref="AR18:AR22"/>
    <mergeCell ref="AR13:AR17"/>
    <mergeCell ref="A167:C167"/>
    <mergeCell ref="A169:E169"/>
    <mergeCell ref="A18:A22"/>
    <mergeCell ref="B18:B22"/>
    <mergeCell ref="C18:C22"/>
    <mergeCell ref="A23:A27"/>
    <mergeCell ref="B23:B27"/>
    <mergeCell ref="A73:A77"/>
    <mergeCell ref="B73:B77"/>
    <mergeCell ref="C73:C77"/>
    <mergeCell ref="A49:A53"/>
    <mergeCell ref="B49:B53"/>
    <mergeCell ref="C49:C53"/>
    <mergeCell ref="A38:A43"/>
    <mergeCell ref="B38:B43"/>
    <mergeCell ref="C38:C43"/>
    <mergeCell ref="C23:C27"/>
    <mergeCell ref="B28:B32"/>
    <mergeCell ref="C28:C32"/>
    <mergeCell ref="A78:C83"/>
    <mergeCell ref="A96:AQ96"/>
    <mergeCell ref="A97:C101"/>
    <mergeCell ref="A137:C141"/>
    <mergeCell ref="A162:C162"/>
    <mergeCell ref="AR38:AR43"/>
    <mergeCell ref="AR55:AR59"/>
    <mergeCell ref="AS55:AS59"/>
    <mergeCell ref="AR49:AR53"/>
    <mergeCell ref="C33:C37"/>
    <mergeCell ref="B33:B37"/>
    <mergeCell ref="A33:A37"/>
    <mergeCell ref="AR28:AR32"/>
    <mergeCell ref="AR33:AR37"/>
    <mergeCell ref="AS33:AS37"/>
    <mergeCell ref="AS28:AS32"/>
    <mergeCell ref="AS49:AS53"/>
    <mergeCell ref="AS38:AS43"/>
    <mergeCell ref="A44:A48"/>
    <mergeCell ref="B44:B48"/>
    <mergeCell ref="C44:C48"/>
    <mergeCell ref="AR44:AR48"/>
    <mergeCell ref="AS44:AS48"/>
    <mergeCell ref="AR78:AR83"/>
    <mergeCell ref="AS78:AS83"/>
    <mergeCell ref="AR73:AR77"/>
    <mergeCell ref="AS73:AS77"/>
    <mergeCell ref="AR66:AR70"/>
    <mergeCell ref="AS66:AS70"/>
    <mergeCell ref="A55:A59"/>
    <mergeCell ref="B55:C59"/>
    <mergeCell ref="A61:A65"/>
    <mergeCell ref="B61:B65"/>
    <mergeCell ref="C61:C65"/>
    <mergeCell ref="A66:A70"/>
    <mergeCell ref="B66:C70"/>
    <mergeCell ref="AR61:AR65"/>
    <mergeCell ref="AS61:AS65"/>
    <mergeCell ref="AR97:AR101"/>
    <mergeCell ref="AS97:AS101"/>
    <mergeCell ref="A84:C89"/>
    <mergeCell ref="AR84:AR89"/>
    <mergeCell ref="AS84:AS89"/>
    <mergeCell ref="A90:C95"/>
    <mergeCell ref="AR90:AR95"/>
    <mergeCell ref="AS90:AS95"/>
    <mergeCell ref="A132:C136"/>
    <mergeCell ref="AR132:AR136"/>
    <mergeCell ref="AS132:AS136"/>
    <mergeCell ref="AR137:AR141"/>
    <mergeCell ref="AS137:AS141"/>
    <mergeCell ref="A102:C106"/>
    <mergeCell ref="AR102:AR106"/>
    <mergeCell ref="AS102:AS106"/>
    <mergeCell ref="A107:C111"/>
    <mergeCell ref="AR107:AR111"/>
    <mergeCell ref="AS107:AS111"/>
    <mergeCell ref="A117:C121"/>
    <mergeCell ref="AR117:AR121"/>
    <mergeCell ref="AS117:AS121"/>
    <mergeCell ref="A122:C126"/>
    <mergeCell ref="AR122:AR126"/>
    <mergeCell ref="AS122:AS126"/>
    <mergeCell ref="A127:C131"/>
    <mergeCell ref="AR127:AR131"/>
    <mergeCell ref="AS127:AS131"/>
    <mergeCell ref="A112:C116"/>
    <mergeCell ref="AR112:AR116"/>
    <mergeCell ref="AS112:AS116"/>
    <mergeCell ref="A152:C156"/>
    <mergeCell ref="AR152:AR156"/>
    <mergeCell ref="AS152:AS156"/>
    <mergeCell ref="A157:C161"/>
    <mergeCell ref="AR157:AR161"/>
    <mergeCell ref="AS157:AS161"/>
    <mergeCell ref="A142:C146"/>
    <mergeCell ref="AR142:AR146"/>
    <mergeCell ref="AS142:AS146"/>
    <mergeCell ref="A147:C151"/>
    <mergeCell ref="AR147:AR151"/>
    <mergeCell ref="AS147:AS151"/>
  </mergeCells>
  <conditionalFormatting sqref="G66:G69 S75 S73 G52 G39 G47 G36 G61:G64 G73:G76 G42 S114 S112 G112:G115 G132:G135">
    <cfRule type="cellIs" dxfId="0" priority="4" stopIfTrue="1" operator="notEqual">
      <formula>#REF!</formula>
    </cfRule>
  </conditionalFormatting>
  <pageMargins left="0.31496062992125984" right="0.11811023622047245" top="0.27559055118110237" bottom="0.15748031496062992" header="0.31496062992125984" footer="0.19685039370078741"/>
  <pageSetup paperSize="8" scale="36" fitToHeight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на 01.01.2018</vt:lpstr>
      <vt:lpstr>на 01.02.2018</vt:lpstr>
      <vt:lpstr>на 01.04.2018</vt:lpstr>
      <vt:lpstr>на 01.01.2020</vt:lpstr>
      <vt:lpstr>'Выполнение работ'!Заголовки_для_печати</vt:lpstr>
      <vt:lpstr>'на 01.01.2018'!Заголовки_для_печати</vt:lpstr>
      <vt:lpstr>'на 01.01.2020'!Заголовки_для_печати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2020-02-04T08:43:46Z</cp:lastPrinted>
  <dcterms:created xsi:type="dcterms:W3CDTF">2011-05-17T05:04:33Z</dcterms:created>
  <dcterms:modified xsi:type="dcterms:W3CDTF">2020-04-14T08:43:03Z</dcterms:modified>
</cp:coreProperties>
</file>