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инамика собст.доходов2013-2016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<sst xmlns="http://schemas.openxmlformats.org/spreadsheetml/2006/main" count="84" uniqueCount="78">
  <si>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ИТОГО НАЛОГОВЫХ ДОХОДОВ</t>
  </si>
  <si>
    <t>ИТОГО НЕНАЛОГОВЫХ ДОХОДОВ</t>
  </si>
  <si>
    <t>ИТОГО НАЛОГОВЫХ И НЕНАЛОГОВЫХ ДОХОДОВ</t>
  </si>
  <si>
    <t>округ</t>
  </si>
  <si>
    <t>федерация</t>
  </si>
  <si>
    <t xml:space="preserve">   - невыясненные поступления</t>
  </si>
  <si>
    <t>Субвенции на реализацию госполномочий :</t>
  </si>
  <si>
    <t>Иные межбюджетные трансферты:</t>
  </si>
  <si>
    <t>Дотации из РФФПМР (городских округов)</t>
  </si>
  <si>
    <t xml:space="preserve"> - в замен дотации из РФФПМР (ГО) ЧАСТИЧНО</t>
  </si>
  <si>
    <t xml:space="preserve">   - прочие неналоговые доходы</t>
  </si>
  <si>
    <t>Возврат остатков субвенций, субсидий прошлых лет</t>
  </si>
  <si>
    <t>Дотация на сбалансированность</t>
  </si>
  <si>
    <t xml:space="preserve"> - в замен дотации из РФФПП ЧАСТИЧНО</t>
  </si>
  <si>
    <t>Дотации из РФФПП</t>
  </si>
  <si>
    <t>Прочие дотации</t>
  </si>
  <si>
    <t>1.2.  Проценты по кредитам местного бюджета</t>
  </si>
  <si>
    <t xml:space="preserve"> -  аренда имущества</t>
  </si>
  <si>
    <t>3.1.  Доходы от оказания платных услуг</t>
  </si>
  <si>
    <t>5. Штрафные санкции, возмещения ущерба</t>
  </si>
  <si>
    <t>6. Прочие неналоговые доходы</t>
  </si>
  <si>
    <t>Дотация за достижение наилучших показателей</t>
  </si>
  <si>
    <t>1.4.  Доходы от переч. части прибыли, МУП</t>
  </si>
  <si>
    <t>Субсидии, в т.ч.:</t>
  </si>
  <si>
    <t>прочие субсидии:</t>
  </si>
  <si>
    <t>субсидии на строительство</t>
  </si>
  <si>
    <t xml:space="preserve">Дотации: </t>
  </si>
  <si>
    <t>Итого безвозмездные поступления от других бюджетов:</t>
  </si>
  <si>
    <t>ИТОГО БЕЗВОЗМЕЗДНЫХ ПОСТУПЛЕНИЙ:</t>
  </si>
  <si>
    <t>2. Акцизы на нефтепродукты</t>
  </si>
  <si>
    <t xml:space="preserve"> - продажа земли, государ.собственность не разграничена</t>
  </si>
  <si>
    <t xml:space="preserve"> - продажа земли, находящейся в собственности ГО</t>
  </si>
  <si>
    <t xml:space="preserve">оценка 2015 (к прогнозу 1) </t>
  </si>
  <si>
    <t xml:space="preserve">оценка 2015 (к бюджету 2) </t>
  </si>
  <si>
    <t>отклонение</t>
  </si>
  <si>
    <t>отклонение, сумма корректировки в декабре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</si>
  <si>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</si>
  <si>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</si>
  <si>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</si>
  <si>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</si>
  <si>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</si>
  <si>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4.  Налог на имущество c физических лиц</t>
  </si>
  <si>
    <t>5. Земельный налог</t>
  </si>
  <si>
    <t>6. Государственная пошлина</t>
  </si>
  <si>
    <t>7. Прочие отмененные налоги</t>
  </si>
  <si>
    <t xml:space="preserve">ВСЕГО ПО БЮДЖЕТУ МО Г.УРАЙ </t>
  </si>
  <si>
    <t xml:space="preserve">1. Налог на доходы физич-х лиц </t>
  </si>
  <si>
    <t>уточнения</t>
  </si>
  <si>
    <t>Наименование доходов</t>
  </si>
  <si>
    <t xml:space="preserve"> - с организаций</t>
  </si>
  <si>
    <t>5. Транспортный налог всего, в том числе:</t>
  </si>
  <si>
    <t xml:space="preserve"> - с физических лиц</t>
  </si>
  <si>
    <t xml:space="preserve"> 1.  Доходы от использования муниципального имущества:</t>
  </si>
  <si>
    <t xml:space="preserve"> - за земли гос.собственность которая не разграничена</t>
  </si>
  <si>
    <t xml:space="preserve"> - за земли после разграничения гос.собственности</t>
  </si>
  <si>
    <t>1.5. Аренда муниципального имущества, в т.ч. :</t>
  </si>
  <si>
    <t xml:space="preserve"> - аренда имущества по договорам найма жилья</t>
  </si>
  <si>
    <t xml:space="preserve"> - аренда имущества  по договорам социального найма</t>
  </si>
  <si>
    <t>2. Плата за негативное воздействие на окружающую среду</t>
  </si>
  <si>
    <t>3.2.  Доходы от компенсации затрат государства</t>
  </si>
  <si>
    <t>4.1. Доходы от реализации муниципального имущества</t>
  </si>
  <si>
    <t>4.2. Доходы от приватизации муниципального имущества</t>
  </si>
  <si>
    <t>Поступило в  2013 году</t>
  </si>
  <si>
    <t>Поступило в 2014 году</t>
  </si>
  <si>
    <t>Поступило в  2015 году</t>
  </si>
  <si>
    <t>3. Доходы от оказания услуг и компенсации затрат государства всего, в том числе:</t>
  </si>
  <si>
    <t>4. Доходы от продажи материальных и нематериальных активов всего, в том числе:</t>
  </si>
  <si>
    <t>4.3.  Доходы от продажи земельных участков всего в том числе:</t>
  </si>
  <si>
    <t>План на 2016 год</t>
  </si>
  <si>
    <t xml:space="preserve"> - Плата за увеличение площади земельных участков, находящихся в частной собственности</t>
  </si>
  <si>
    <t xml:space="preserve">1.1.  Доходы в виде прибыли (дивиденты по акциям), принадлежащие муниципальному образованию г. Урай </t>
  </si>
  <si>
    <t>тыс.руб.</t>
  </si>
  <si>
    <t>План на 2016 год уточненный</t>
  </si>
  <si>
    <t>Динамика и структура доходов бюджета города Урай за 2013-2015 годы,                                                                                                                                                                                                                              предшествующие текущему финансовому  2016 году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</si>
  <si>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</si>
  <si>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r>
      <t>оценка 2015 (</t>
    </r>
    <r>
      <rPr>
        <b/>
        <u val="single"/>
        <sz val="11"/>
        <rFont val="Times New Roman"/>
        <family val="1"/>
      </rPr>
      <t>к кор-ке в декабре в.4</t>
    </r>
    <r>
      <rPr>
        <b/>
        <sz val="11"/>
        <rFont val="Times New Roman"/>
        <family val="1"/>
      </rPr>
      <t xml:space="preserve">) </t>
    </r>
  </si>
  <si>
    <r>
      <t xml:space="preserve"> - </t>
    </r>
    <r>
      <rPr>
        <b/>
        <sz val="10"/>
        <rFont val="Times New Roman"/>
        <family val="1"/>
      </rPr>
      <t xml:space="preserve">НДФЛ по единому нормативу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=БК 20%+25%(округ) = </t>
    </r>
    <r>
      <rPr>
        <b/>
        <sz val="10"/>
        <rFont val="Times New Roman"/>
        <family val="1"/>
      </rPr>
      <t>45%</t>
    </r>
    <r>
      <rPr>
        <sz val="10"/>
        <rFont val="Times New Roman"/>
        <family val="1"/>
      </rPr>
      <t xml:space="preserve">; </t>
    </r>
    <r>
      <rPr>
        <b/>
        <sz val="10"/>
        <rFont val="Times New Roman"/>
        <family val="1"/>
      </rPr>
      <t>2014</t>
    </r>
    <r>
      <rPr>
        <sz val="10"/>
        <rFont val="Times New Roman"/>
        <family val="1"/>
      </rPr>
      <t xml:space="preserve">=БК 15%+23,5%(округ) = </t>
    </r>
    <r>
      <rPr>
        <b/>
        <sz val="10"/>
        <rFont val="Times New Roman"/>
        <family val="1"/>
      </rPr>
      <t>38,5%; 2015-2016</t>
    </r>
    <r>
      <rPr>
        <sz val="10"/>
        <rFont val="Times New Roman"/>
        <family val="1"/>
      </rPr>
      <t xml:space="preserve"> =БК 15%+19%(округ) =</t>
    </r>
    <r>
      <rPr>
        <b/>
        <sz val="10"/>
        <rFont val="Times New Roman"/>
        <family val="1"/>
      </rPr>
      <t>34%</t>
    </r>
  </si>
  <si>
    <r>
      <t xml:space="preserve">1. 3. Аренда земельных участков </t>
    </r>
    <r>
      <rPr>
        <sz val="11"/>
        <rFont val="Times New Roman"/>
        <family val="1"/>
      </rPr>
      <t xml:space="preserve">(2013=80%, 2014-2016=100%)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</si>
</sst>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185" fontId="9" fillId="0" borderId="10" xfId="0" applyNumberFormat="1" applyFont="1" applyFill="1" applyBorder="1" applyAlignment="1">
      <alignment horizontal="center"/>
    </xf>
    <xf numFmtId="185" fontId="9" fillId="10" borderId="0" xfId="0" applyNumberFormat="1" applyFont="1" applyFill="1" applyBorder="1" applyAlignment="1">
      <alignment horizontal="center"/>
    </xf>
    <xf numFmtId="185" fontId="9" fillId="10" borderId="11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/>
    </xf>
    <xf numFmtId="185" fontId="9" fillId="0" borderId="11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/>
    </xf>
    <xf numFmtId="185" fontId="9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185" fontId="8" fillId="0" borderId="10" xfId="0" applyNumberFormat="1" applyFont="1" applyFill="1" applyBorder="1" applyAlignment="1">
      <alignment horizontal="center"/>
    </xf>
    <xf numFmtId="185" fontId="8" fillId="10" borderId="0" xfId="0" applyNumberFormat="1" applyFont="1" applyFill="1" applyBorder="1" applyAlignment="1">
      <alignment horizontal="center"/>
    </xf>
    <xf numFmtId="185" fontId="8" fillId="10" borderId="11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/>
    </xf>
    <xf numFmtId="185" fontId="8" fillId="0" borderId="11" xfId="0" applyNumberFormat="1" applyFont="1" applyFill="1" applyBorder="1" applyAlignment="1">
      <alignment horizontal="center"/>
    </xf>
    <xf numFmtId="185" fontId="8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85" fontId="9" fillId="25" borderId="0" xfId="0" applyNumberFormat="1" applyFont="1" applyFill="1" applyBorder="1" applyAlignment="1">
      <alignment horizontal="center"/>
    </xf>
    <xf numFmtId="185" fontId="9" fillId="25" borderId="11" xfId="0" applyNumberFormat="1" applyFont="1" applyFill="1" applyBorder="1" applyAlignment="1">
      <alignment horizontal="center" vertical="center"/>
    </xf>
    <xf numFmtId="185" fontId="9" fillId="25" borderId="11" xfId="0" applyNumberFormat="1" applyFont="1" applyFill="1" applyBorder="1" applyAlignment="1">
      <alignment horizontal="center"/>
    </xf>
    <xf numFmtId="185" fontId="9" fillId="25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85" fontId="8" fillId="0" borderId="10" xfId="0" applyNumberFormat="1" applyFont="1" applyFill="1" applyBorder="1" applyAlignment="1">
      <alignment horizontal="center" vertical="center"/>
    </xf>
    <xf numFmtId="185" fontId="8" fillId="1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>
      <alignment horizontal="center" vertical="center"/>
    </xf>
    <xf numFmtId="185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9" fillId="10" borderId="13" xfId="0" applyNumberFormat="1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85" fontId="9" fillId="0" borderId="10" xfId="0" applyNumberFormat="1" applyFont="1" applyBorder="1" applyAlignment="1">
      <alignment horizontal="center" vertical="center"/>
    </xf>
    <xf numFmtId="185" fontId="9" fillId="10" borderId="0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185" fontId="11" fillId="0" borderId="10" xfId="0" applyNumberFormat="1" applyFont="1" applyBorder="1" applyAlignment="1">
      <alignment horizontal="center" vertical="center"/>
    </xf>
    <xf numFmtId="185" fontId="11" fillId="10" borderId="0" xfId="0" applyNumberFormat="1" applyFont="1" applyFill="1" applyBorder="1" applyAlignment="1">
      <alignment horizontal="center" vertical="center"/>
    </xf>
    <xf numFmtId="185" fontId="11" fillId="10" borderId="11" xfId="0" applyNumberFormat="1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5" fontId="11" fillId="0" borderId="11" xfId="0" applyNumberFormat="1" applyFont="1" applyFill="1" applyBorder="1" applyAlignment="1">
      <alignment horizontal="center" vertical="center"/>
    </xf>
    <xf numFmtId="185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185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12" borderId="10" xfId="0" applyNumberFormat="1" applyFont="1" applyFill="1" applyBorder="1" applyAlignment="1">
      <alignment horizontal="center"/>
    </xf>
    <xf numFmtId="185" fontId="9" fillId="12" borderId="15" xfId="0" applyNumberFormat="1" applyFont="1" applyFill="1" applyBorder="1" applyAlignment="1">
      <alignment horizontal="center"/>
    </xf>
    <xf numFmtId="185" fontId="9" fillId="12" borderId="15" xfId="0" applyNumberFormat="1" applyFont="1" applyFill="1" applyBorder="1" applyAlignment="1">
      <alignment horizontal="center" vertical="center"/>
    </xf>
    <xf numFmtId="185" fontId="9" fillId="12" borderId="16" xfId="0" applyNumberFormat="1" applyFont="1" applyFill="1" applyBorder="1" applyAlignment="1">
      <alignment horizontal="center" vertical="center"/>
    </xf>
    <xf numFmtId="185" fontId="9" fillId="12" borderId="17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85" fontId="9" fillId="0" borderId="10" xfId="0" applyNumberFormat="1" applyFont="1" applyBorder="1" applyAlignment="1">
      <alignment horizontal="center"/>
    </xf>
    <xf numFmtId="185" fontId="9" fillId="0" borderId="10" xfId="0" applyNumberFormat="1" applyFont="1" applyBorder="1" applyAlignment="1">
      <alignment horizontal="center" vertical="center" wrapText="1"/>
    </xf>
    <xf numFmtId="185" fontId="9" fillId="10" borderId="0" xfId="0" applyNumberFormat="1" applyFont="1" applyFill="1" applyBorder="1" applyAlignment="1">
      <alignment horizontal="center" vertical="center" wrapText="1"/>
    </xf>
    <xf numFmtId="185" fontId="9" fillId="10" borderId="11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>
      <alignment horizontal="center" vertical="center" wrapText="1"/>
    </xf>
    <xf numFmtId="185" fontId="9" fillId="0" borderId="1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85" fontId="6" fillId="26" borderId="10" xfId="0" applyNumberFormat="1" applyFont="1" applyFill="1" applyBorder="1" applyAlignment="1">
      <alignment horizontal="center" vertical="center"/>
    </xf>
    <xf numFmtId="185" fontId="6" fillId="26" borderId="15" xfId="0" applyNumberFormat="1" applyFont="1" applyFill="1" applyBorder="1" applyAlignment="1">
      <alignment horizontal="center" vertical="center"/>
    </xf>
    <xf numFmtId="185" fontId="6" fillId="26" borderId="16" xfId="0" applyNumberFormat="1" applyFont="1" applyFill="1" applyBorder="1" applyAlignment="1">
      <alignment horizontal="center" vertical="center"/>
    </xf>
    <xf numFmtId="185" fontId="6" fillId="26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12" borderId="10" xfId="0" applyFont="1" applyFill="1" applyBorder="1" applyAlignment="1">
      <alignment horizontal="left"/>
    </xf>
    <xf numFmtId="0" fontId="6" fillId="12" borderId="10" xfId="0" applyFont="1" applyFill="1" applyBorder="1" applyAlignment="1">
      <alignment horizontal="left" vertical="center"/>
    </xf>
    <xf numFmtId="185" fontId="6" fillId="12" borderId="10" xfId="60" applyNumberFormat="1" applyFont="1" applyFill="1" applyBorder="1" applyAlignment="1">
      <alignment horizontal="center" vertical="center"/>
    </xf>
    <xf numFmtId="185" fontId="6" fillId="12" borderId="10" xfId="0" applyNumberFormat="1" applyFont="1" applyFill="1" applyBorder="1" applyAlignment="1">
      <alignment horizontal="center" vertical="center"/>
    </xf>
    <xf numFmtId="185" fontId="6" fillId="12" borderId="15" xfId="60" applyNumberFormat="1" applyFont="1" applyFill="1" applyBorder="1" applyAlignment="1">
      <alignment horizontal="center" vertical="center"/>
    </xf>
    <xf numFmtId="185" fontId="6" fillId="12" borderId="16" xfId="0" applyNumberFormat="1" applyFont="1" applyFill="1" applyBorder="1" applyAlignment="1">
      <alignment horizontal="center" vertical="center"/>
    </xf>
    <xf numFmtId="185" fontId="6" fillId="12" borderId="17" xfId="60" applyNumberFormat="1" applyFont="1" applyFill="1" applyBorder="1" applyAlignment="1">
      <alignment horizontal="center" vertical="center"/>
    </xf>
    <xf numFmtId="3" fontId="6" fillId="0" borderId="0" xfId="6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85" fontId="6" fillId="0" borderId="10" xfId="60" applyNumberFormat="1" applyFont="1" applyBorder="1" applyAlignment="1">
      <alignment horizontal="center" vertical="center"/>
    </xf>
    <xf numFmtId="185" fontId="6" fillId="27" borderId="15" xfId="60" applyNumberFormat="1" applyFont="1" applyFill="1" applyBorder="1" applyAlignment="1">
      <alignment horizontal="center" vertical="center"/>
    </xf>
    <xf numFmtId="185" fontId="6" fillId="0" borderId="16" xfId="60" applyNumberFormat="1" applyFont="1" applyFill="1" applyBorder="1" applyAlignment="1">
      <alignment horizontal="center" vertical="center"/>
    </xf>
    <xf numFmtId="185" fontId="6" fillId="28" borderId="17" xfId="60" applyNumberFormat="1" applyFont="1" applyFill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85" fontId="7" fillId="27" borderId="15" xfId="0" applyNumberFormat="1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28" borderId="17" xfId="0" applyNumberFormat="1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left"/>
    </xf>
    <xf numFmtId="185" fontId="9" fillId="25" borderId="10" xfId="0" applyNumberFormat="1" applyFont="1" applyFill="1" applyBorder="1" applyAlignment="1">
      <alignment horizontal="center"/>
    </xf>
    <xf numFmtId="185" fontId="8" fillId="0" borderId="10" xfId="0" applyNumberFormat="1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left"/>
    </xf>
    <xf numFmtId="185" fontId="9" fillId="30" borderId="10" xfId="0" applyNumberFormat="1" applyFont="1" applyFill="1" applyBorder="1" applyAlignment="1">
      <alignment horizontal="center"/>
    </xf>
    <xf numFmtId="185" fontId="9" fillId="30" borderId="18" xfId="0" applyNumberFormat="1" applyFont="1" applyFill="1" applyBorder="1" applyAlignment="1">
      <alignment horizontal="center"/>
    </xf>
    <xf numFmtId="185" fontId="9" fillId="30" borderId="13" xfId="0" applyNumberFormat="1" applyFont="1" applyFill="1" applyBorder="1" applyAlignment="1">
      <alignment horizontal="center" vertical="center"/>
    </xf>
    <xf numFmtId="185" fontId="9" fillId="27" borderId="18" xfId="0" applyNumberFormat="1" applyFont="1" applyFill="1" applyBorder="1" applyAlignment="1">
      <alignment horizontal="center"/>
    </xf>
    <xf numFmtId="185" fontId="9" fillId="27" borderId="19" xfId="0" applyNumberFormat="1" applyFont="1" applyFill="1" applyBorder="1" applyAlignment="1">
      <alignment horizontal="center"/>
    </xf>
    <xf numFmtId="185" fontId="9" fillId="30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O10" sqref="O10"/>
    </sheetView>
  </sheetViews>
  <sheetFormatPr defaultColWidth="9.140625" defaultRowHeight="12.75"/>
  <cols>
    <col min="1" max="1" width="60.57421875" style="5" customWidth="1"/>
    <col min="2" max="2" width="17.8515625" style="5" customWidth="1"/>
    <col min="3" max="3" width="15.7109375" style="5" customWidth="1"/>
    <col min="4" max="4" width="16.57421875" style="5" customWidth="1"/>
    <col min="5" max="5" width="15.57421875" style="5" customWidth="1"/>
    <col min="6" max="6" width="15.8515625" style="5" customWidth="1"/>
    <col min="7" max="7" width="15.7109375" style="5" customWidth="1"/>
    <col min="8" max="8" width="13.57421875" style="5" hidden="1" customWidth="1"/>
    <col min="9" max="9" width="15.421875" style="5" hidden="1" customWidth="1"/>
    <col min="10" max="10" width="13.00390625" style="5" hidden="1" customWidth="1"/>
    <col min="11" max="11" width="11.28125" style="5" hidden="1" customWidth="1"/>
    <col min="12" max="12" width="12.7109375" style="5" hidden="1" customWidth="1"/>
    <col min="13" max="15" width="10.28125" style="5" customWidth="1"/>
    <col min="16" max="16" width="10.57421875" style="5" customWidth="1"/>
    <col min="17" max="17" width="10.00390625" style="5" customWidth="1"/>
    <col min="18" max="19" width="10.421875" style="5" customWidth="1"/>
    <col min="20" max="16384" width="9.140625" style="5" customWidth="1"/>
  </cols>
  <sheetData>
    <row r="1" spans="1:19" ht="32.25" customHeight="1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3"/>
      <c r="N1" s="3"/>
      <c r="O1" s="3"/>
      <c r="P1" s="3"/>
      <c r="Q1" s="3"/>
      <c r="R1" s="3"/>
      <c r="S1" s="4"/>
    </row>
    <row r="2" spans="1:19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  <c r="S2" s="4"/>
    </row>
    <row r="3" spans="1:19" ht="15.75" thickBot="1">
      <c r="A3" s="2"/>
      <c r="B3" s="2"/>
      <c r="C3" s="2"/>
      <c r="D3" s="2"/>
      <c r="E3" s="2"/>
      <c r="F3" s="2"/>
      <c r="G3" s="2" t="s">
        <v>71</v>
      </c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4"/>
    </row>
    <row r="4" spans="1:27" s="54" customFormat="1" ht="51" customHeight="1" thickBot="1">
      <c r="A4" s="6" t="s">
        <v>48</v>
      </c>
      <c r="B4" s="7" t="s">
        <v>62</v>
      </c>
      <c r="C4" s="7" t="s">
        <v>63</v>
      </c>
      <c r="D4" s="7" t="s">
        <v>64</v>
      </c>
      <c r="E4" s="7" t="s">
        <v>68</v>
      </c>
      <c r="F4" s="8" t="s">
        <v>47</v>
      </c>
      <c r="G4" s="7" t="s">
        <v>72</v>
      </c>
      <c r="H4" s="48" t="s">
        <v>75</v>
      </c>
      <c r="I4" s="49" t="s">
        <v>35</v>
      </c>
      <c r="J4" s="50" t="s">
        <v>33</v>
      </c>
      <c r="K4" s="51" t="s">
        <v>34</v>
      </c>
      <c r="L4" s="50" t="s">
        <v>32</v>
      </c>
      <c r="M4" s="52"/>
      <c r="N4" s="53"/>
      <c r="O4" s="53"/>
      <c r="P4" s="53"/>
      <c r="Q4" s="52"/>
      <c r="R4" s="52"/>
      <c r="S4" s="53"/>
      <c r="T4" s="53"/>
      <c r="U4" s="52"/>
      <c r="V4" s="52"/>
      <c r="W4" s="52"/>
      <c r="X4" s="52"/>
      <c r="Y4" s="52"/>
      <c r="Z4" s="52"/>
      <c r="AA4" s="52"/>
    </row>
    <row r="5" spans="1:32" s="61" customFormat="1" ht="26.25" customHeight="1">
      <c r="A5" s="55" t="s">
        <v>46</v>
      </c>
      <c r="B5" s="56">
        <f>B6+B7+B8</f>
        <v>620815.1</v>
      </c>
      <c r="C5" s="56">
        <f>SUM(C6:C8)</f>
        <v>529473.9</v>
      </c>
      <c r="D5" s="56">
        <f>D6+D7+D8</f>
        <v>463449.7</v>
      </c>
      <c r="E5" s="56">
        <f>E6+E7+E8</f>
        <v>456958.8</v>
      </c>
      <c r="F5" s="56">
        <f>F6+F7+F8</f>
        <v>0</v>
      </c>
      <c r="G5" s="56">
        <f>E5+F5</f>
        <v>456958.8</v>
      </c>
      <c r="H5" s="57">
        <f>SUM(H6:H8)</f>
        <v>461590</v>
      </c>
      <c r="I5" s="12">
        <f aca="true" t="shared" si="0" ref="I5:I49">H5-G5</f>
        <v>4631.200000000012</v>
      </c>
      <c r="J5" s="58">
        <f>SUM(J6:J8)</f>
        <v>473081.39999999997</v>
      </c>
      <c r="K5" s="14">
        <f>J5-G5</f>
        <v>16122.599999999977</v>
      </c>
      <c r="L5" s="59">
        <f>SUM(L6:L8)</f>
        <v>485923</v>
      </c>
      <c r="M5" s="41"/>
      <c r="N5" s="41"/>
      <c r="O5" s="41"/>
      <c r="P5" s="41"/>
      <c r="Q5" s="41"/>
      <c r="R5" s="41"/>
      <c r="S5" s="41"/>
      <c r="T5" s="42"/>
      <c r="U5" s="43"/>
      <c r="V5" s="43"/>
      <c r="W5" s="43"/>
      <c r="X5" s="43"/>
      <c r="Y5" s="43"/>
      <c r="Z5" s="43"/>
      <c r="AA5" s="43"/>
      <c r="AB5" s="60"/>
      <c r="AC5" s="60"/>
      <c r="AD5" s="60"/>
      <c r="AE5" s="60"/>
      <c r="AF5" s="60"/>
    </row>
    <row r="6" spans="1:32" s="73" customFormat="1" ht="39" customHeight="1">
      <c r="A6" s="62" t="s">
        <v>76</v>
      </c>
      <c r="B6" s="63">
        <v>498869.3</v>
      </c>
      <c r="C6" s="63">
        <v>446055.7</v>
      </c>
      <c r="D6" s="63">
        <v>385263.8</v>
      </c>
      <c r="E6" s="63">
        <v>411996</v>
      </c>
      <c r="F6" s="63"/>
      <c r="G6" s="63">
        <f>E6+F6</f>
        <v>411996</v>
      </c>
      <c r="H6" s="64">
        <v>378422.4</v>
      </c>
      <c r="I6" s="65">
        <f t="shared" si="0"/>
        <v>-33573.59999999998</v>
      </c>
      <c r="J6" s="66">
        <v>393270.6</v>
      </c>
      <c r="K6" s="67"/>
      <c r="L6" s="68">
        <v>402755.4</v>
      </c>
      <c r="M6" s="69"/>
      <c r="N6" s="69"/>
      <c r="O6" s="69"/>
      <c r="P6" s="69"/>
      <c r="Q6" s="69"/>
      <c r="R6" s="69"/>
      <c r="S6" s="69"/>
      <c r="T6" s="70"/>
      <c r="U6" s="71"/>
      <c r="V6" s="71"/>
      <c r="W6" s="71"/>
      <c r="X6" s="71"/>
      <c r="Y6" s="71"/>
      <c r="Z6" s="71"/>
      <c r="AA6" s="71"/>
      <c r="AB6" s="72"/>
      <c r="AC6" s="72"/>
      <c r="AD6" s="72"/>
      <c r="AE6" s="72"/>
      <c r="AF6" s="72"/>
    </row>
    <row r="7" spans="1:32" s="61" customFormat="1" ht="18.75" customHeight="1">
      <c r="A7" s="107" t="s">
        <v>9</v>
      </c>
      <c r="B7" s="36">
        <v>121945.8</v>
      </c>
      <c r="C7" s="36">
        <v>71368.9</v>
      </c>
      <c r="D7" s="36">
        <v>66854.6</v>
      </c>
      <c r="E7" s="36">
        <v>38427.7</v>
      </c>
      <c r="F7" s="36"/>
      <c r="G7" s="36">
        <f aca="true" t="shared" si="1" ref="G7:G22">SUM(E7:F7)</f>
        <v>38427.7</v>
      </c>
      <c r="H7" s="37">
        <v>71065.8</v>
      </c>
      <c r="I7" s="24">
        <f t="shared" si="0"/>
        <v>32638.100000000006</v>
      </c>
      <c r="J7" s="38">
        <v>68244</v>
      </c>
      <c r="K7" s="39"/>
      <c r="L7" s="40">
        <v>71065.8</v>
      </c>
      <c r="M7" s="41"/>
      <c r="N7" s="41"/>
      <c r="O7" s="41"/>
      <c r="P7" s="41"/>
      <c r="Q7" s="41"/>
      <c r="R7" s="41"/>
      <c r="S7" s="41"/>
      <c r="T7" s="42"/>
      <c r="U7" s="43"/>
      <c r="V7" s="43"/>
      <c r="W7" s="43"/>
      <c r="X7" s="43"/>
      <c r="Y7" s="43"/>
      <c r="Z7" s="43"/>
      <c r="AA7" s="43"/>
      <c r="AB7" s="60"/>
      <c r="AC7" s="60"/>
      <c r="AD7" s="60"/>
      <c r="AE7" s="60"/>
      <c r="AF7" s="60"/>
    </row>
    <row r="8" spans="1:32" s="61" customFormat="1" ht="14.25" customHeight="1">
      <c r="A8" s="108" t="s">
        <v>13</v>
      </c>
      <c r="B8" s="75">
        <v>0</v>
      </c>
      <c r="C8" s="75">
        <v>12049.3</v>
      </c>
      <c r="D8" s="75">
        <v>11331.3</v>
      </c>
      <c r="E8" s="75">
        <v>6535.1</v>
      </c>
      <c r="F8" s="75"/>
      <c r="G8" s="75">
        <f t="shared" si="1"/>
        <v>6535.1</v>
      </c>
      <c r="H8" s="37">
        <v>12101.8</v>
      </c>
      <c r="I8" s="24">
        <f t="shared" si="0"/>
        <v>5566.699999999999</v>
      </c>
      <c r="J8" s="38">
        <v>11566.8</v>
      </c>
      <c r="K8" s="39"/>
      <c r="L8" s="40">
        <v>12101.8</v>
      </c>
      <c r="M8" s="41"/>
      <c r="N8" s="41"/>
      <c r="O8" s="41"/>
      <c r="P8" s="41"/>
      <c r="Q8" s="41"/>
      <c r="R8" s="41"/>
      <c r="S8" s="41"/>
      <c r="T8" s="42"/>
      <c r="U8" s="43"/>
      <c r="V8" s="43"/>
      <c r="W8" s="43"/>
      <c r="X8" s="43"/>
      <c r="Y8" s="43"/>
      <c r="Z8" s="43"/>
      <c r="AA8" s="43"/>
      <c r="AB8" s="60"/>
      <c r="AC8" s="60"/>
      <c r="AD8" s="60"/>
      <c r="AE8" s="60"/>
      <c r="AF8" s="60"/>
    </row>
    <row r="9" spans="1:32" s="82" customFormat="1" ht="14.25">
      <c r="A9" s="109" t="s">
        <v>29</v>
      </c>
      <c r="B9" s="77">
        <v>0</v>
      </c>
      <c r="C9" s="77">
        <v>9093.3</v>
      </c>
      <c r="D9" s="77">
        <v>9944.1</v>
      </c>
      <c r="E9" s="77">
        <v>10162.6</v>
      </c>
      <c r="F9" s="77">
        <v>0</v>
      </c>
      <c r="G9" s="77">
        <f t="shared" si="1"/>
        <v>10162.6</v>
      </c>
      <c r="H9" s="57">
        <v>9682.9</v>
      </c>
      <c r="I9" s="12">
        <f t="shared" si="0"/>
        <v>-479.7000000000007</v>
      </c>
      <c r="J9" s="58">
        <v>9682.9</v>
      </c>
      <c r="K9" s="14">
        <f aca="true" t="shared" si="2" ref="K9:K49">J9-G9</f>
        <v>-479.7000000000007</v>
      </c>
      <c r="L9" s="59">
        <v>9682.9</v>
      </c>
      <c r="M9" s="78"/>
      <c r="N9" s="78"/>
      <c r="O9" s="78"/>
      <c r="P9" s="78"/>
      <c r="Q9" s="78"/>
      <c r="R9" s="78"/>
      <c r="S9" s="78"/>
      <c r="T9" s="79"/>
      <c r="U9" s="80"/>
      <c r="V9" s="80"/>
      <c r="W9" s="80"/>
      <c r="X9" s="80"/>
      <c r="Y9" s="80"/>
      <c r="Z9" s="80"/>
      <c r="AA9" s="80"/>
      <c r="AB9" s="81"/>
      <c r="AC9" s="81"/>
      <c r="AD9" s="81"/>
      <c r="AE9" s="81"/>
      <c r="AF9" s="81"/>
    </row>
    <row r="10" spans="1:32" s="82" customFormat="1" ht="14.25">
      <c r="A10" s="109" t="s">
        <v>36</v>
      </c>
      <c r="B10" s="77">
        <f>B11+B12+B13+B14</f>
        <v>120173.09999999999</v>
      </c>
      <c r="C10" s="77">
        <f>C11+C12+C13+C14</f>
        <v>128479.3</v>
      </c>
      <c r="D10" s="77">
        <f>D11+D12+D13+D14</f>
        <v>124631.6</v>
      </c>
      <c r="E10" s="77">
        <f>E11+E12+E13+E14</f>
        <v>124118.5</v>
      </c>
      <c r="F10" s="77">
        <f>F11+F12+F13+F14</f>
        <v>0</v>
      </c>
      <c r="G10" s="77">
        <f t="shared" si="1"/>
        <v>124118.5</v>
      </c>
      <c r="H10" s="57">
        <f>H11+H12+H13+H14</f>
        <v>123307.1</v>
      </c>
      <c r="I10" s="12">
        <f t="shared" si="0"/>
        <v>-811.3999999999942</v>
      </c>
      <c r="J10" s="58">
        <f>J11+J12+J13+J14</f>
        <v>124454.6</v>
      </c>
      <c r="K10" s="14">
        <f t="shared" si="2"/>
        <v>336.1000000000058</v>
      </c>
      <c r="L10" s="59">
        <f>L11+L12+L13+L14</f>
        <v>116298.5</v>
      </c>
      <c r="M10" s="78"/>
      <c r="N10" s="78"/>
      <c r="O10" s="78"/>
      <c r="P10" s="78"/>
      <c r="Q10" s="78"/>
      <c r="R10" s="78"/>
      <c r="S10" s="78"/>
      <c r="T10" s="79"/>
      <c r="U10" s="80"/>
      <c r="V10" s="80"/>
      <c r="W10" s="80"/>
      <c r="X10" s="80"/>
      <c r="Y10" s="80"/>
      <c r="Z10" s="80"/>
      <c r="AA10" s="80"/>
      <c r="AB10" s="81"/>
      <c r="AC10" s="81"/>
      <c r="AD10" s="81"/>
      <c r="AE10" s="81"/>
      <c r="AF10" s="81"/>
    </row>
    <row r="11" spans="1:32" s="61" customFormat="1" ht="15">
      <c r="A11" s="107" t="s">
        <v>37</v>
      </c>
      <c r="B11" s="36">
        <v>63930.2</v>
      </c>
      <c r="C11" s="36">
        <v>73187.5</v>
      </c>
      <c r="D11" s="36">
        <v>70302.5</v>
      </c>
      <c r="E11" s="36">
        <v>69218.5</v>
      </c>
      <c r="F11" s="36"/>
      <c r="G11" s="36">
        <f t="shared" si="1"/>
        <v>69218.5</v>
      </c>
      <c r="H11" s="37">
        <f>69867.1-300</f>
        <v>69567.1</v>
      </c>
      <c r="I11" s="24">
        <f t="shared" si="0"/>
        <v>348.6000000000058</v>
      </c>
      <c r="J11" s="38">
        <v>70363.1</v>
      </c>
      <c r="K11" s="39">
        <f t="shared" si="2"/>
        <v>1144.6000000000058</v>
      </c>
      <c r="L11" s="40">
        <v>62800</v>
      </c>
      <c r="M11" s="41"/>
      <c r="N11" s="41"/>
      <c r="O11" s="41"/>
      <c r="P11" s="41"/>
      <c r="Q11" s="41"/>
      <c r="R11" s="41"/>
      <c r="S11" s="41"/>
      <c r="T11" s="42"/>
      <c r="U11" s="43"/>
      <c r="V11" s="43"/>
      <c r="W11" s="43"/>
      <c r="X11" s="43"/>
      <c r="Y11" s="43"/>
      <c r="Z11" s="43"/>
      <c r="AA11" s="43"/>
      <c r="AB11" s="60"/>
      <c r="AC11" s="60"/>
      <c r="AD11" s="60"/>
      <c r="AE11" s="60"/>
      <c r="AF11" s="60"/>
    </row>
    <row r="12" spans="1:32" s="61" customFormat="1" ht="14.25" customHeight="1">
      <c r="A12" s="107" t="s">
        <v>38</v>
      </c>
      <c r="B12" s="36">
        <v>55359.3</v>
      </c>
      <c r="C12" s="36">
        <v>52834.1</v>
      </c>
      <c r="D12" s="36">
        <v>48817.7</v>
      </c>
      <c r="E12" s="36">
        <v>49950</v>
      </c>
      <c r="F12" s="36"/>
      <c r="G12" s="36">
        <f t="shared" si="1"/>
        <v>49950</v>
      </c>
      <c r="H12" s="37">
        <f>49190-300</f>
        <v>48890</v>
      </c>
      <c r="I12" s="24">
        <f t="shared" si="0"/>
        <v>-1060</v>
      </c>
      <c r="J12" s="38">
        <v>49190</v>
      </c>
      <c r="K12" s="39">
        <f t="shared" si="2"/>
        <v>-760</v>
      </c>
      <c r="L12" s="40">
        <v>50140</v>
      </c>
      <c r="M12" s="41"/>
      <c r="N12" s="41"/>
      <c r="O12" s="41"/>
      <c r="P12" s="41"/>
      <c r="Q12" s="41"/>
      <c r="R12" s="41"/>
      <c r="S12" s="41"/>
      <c r="T12" s="42"/>
      <c r="U12" s="43"/>
      <c r="V12" s="43"/>
      <c r="W12" s="43"/>
      <c r="X12" s="43"/>
      <c r="Y12" s="43"/>
      <c r="Z12" s="43"/>
      <c r="AA12" s="43"/>
      <c r="AB12" s="60"/>
      <c r="AC12" s="60"/>
      <c r="AD12" s="60"/>
      <c r="AE12" s="60"/>
      <c r="AF12" s="60"/>
    </row>
    <row r="13" spans="1:32" s="61" customFormat="1" ht="14.25" customHeight="1">
      <c r="A13" s="107" t="s">
        <v>39</v>
      </c>
      <c r="B13" s="36">
        <v>76.7</v>
      </c>
      <c r="C13" s="36">
        <v>656</v>
      </c>
      <c r="D13" s="36">
        <v>650.8</v>
      </c>
      <c r="E13" s="36">
        <v>450</v>
      </c>
      <c r="F13" s="36"/>
      <c r="G13" s="36">
        <f t="shared" si="1"/>
        <v>450</v>
      </c>
      <c r="H13" s="37">
        <v>650</v>
      </c>
      <c r="I13" s="24">
        <f t="shared" si="0"/>
        <v>200</v>
      </c>
      <c r="J13" s="38">
        <v>436</v>
      </c>
      <c r="K13" s="39">
        <f t="shared" si="2"/>
        <v>-14</v>
      </c>
      <c r="L13" s="40">
        <v>215</v>
      </c>
      <c r="M13" s="41"/>
      <c r="N13" s="41"/>
      <c r="O13" s="41"/>
      <c r="P13" s="41"/>
      <c r="Q13" s="41"/>
      <c r="R13" s="41"/>
      <c r="S13" s="41"/>
      <c r="T13" s="42"/>
      <c r="U13" s="43"/>
      <c r="V13" s="43"/>
      <c r="W13" s="43"/>
      <c r="X13" s="43"/>
      <c r="Y13" s="43"/>
      <c r="Z13" s="43"/>
      <c r="AA13" s="43"/>
      <c r="AB13" s="60"/>
      <c r="AC13" s="60"/>
      <c r="AD13" s="60"/>
      <c r="AE13" s="60"/>
      <c r="AF13" s="60"/>
    </row>
    <row r="14" spans="1:32" s="61" customFormat="1" ht="14.25" customHeight="1">
      <c r="A14" s="107" t="s">
        <v>40</v>
      </c>
      <c r="B14" s="36">
        <v>806.9</v>
      </c>
      <c r="C14" s="36">
        <v>1801.7</v>
      </c>
      <c r="D14" s="36">
        <v>4860.6</v>
      </c>
      <c r="E14" s="36">
        <v>4500</v>
      </c>
      <c r="F14" s="36"/>
      <c r="G14" s="36">
        <f t="shared" si="1"/>
        <v>4500</v>
      </c>
      <c r="H14" s="37">
        <v>4200</v>
      </c>
      <c r="I14" s="24">
        <f t="shared" si="0"/>
        <v>-300</v>
      </c>
      <c r="J14" s="38">
        <v>4465.5</v>
      </c>
      <c r="K14" s="39">
        <f t="shared" si="2"/>
        <v>-34.5</v>
      </c>
      <c r="L14" s="40">
        <v>3143.5</v>
      </c>
      <c r="M14" s="41"/>
      <c r="N14" s="41"/>
      <c r="O14" s="41"/>
      <c r="P14" s="41"/>
      <c r="Q14" s="41"/>
      <c r="R14" s="41"/>
      <c r="S14" s="41"/>
      <c r="T14" s="42"/>
      <c r="U14" s="43"/>
      <c r="V14" s="43"/>
      <c r="W14" s="43"/>
      <c r="X14" s="43"/>
      <c r="Y14" s="43"/>
      <c r="Z14" s="43"/>
      <c r="AA14" s="43"/>
      <c r="AB14" s="60"/>
      <c r="AC14" s="60"/>
      <c r="AD14" s="60"/>
      <c r="AE14" s="60"/>
      <c r="AF14" s="60"/>
    </row>
    <row r="15" spans="1:32" s="82" customFormat="1" ht="14.25" customHeight="1">
      <c r="A15" s="109" t="s">
        <v>41</v>
      </c>
      <c r="B15" s="77">
        <v>7678.7</v>
      </c>
      <c r="C15" s="77">
        <v>9240.8</v>
      </c>
      <c r="D15" s="77">
        <v>8962.3</v>
      </c>
      <c r="E15" s="77">
        <v>9500</v>
      </c>
      <c r="F15" s="77"/>
      <c r="G15" s="77">
        <f t="shared" si="1"/>
        <v>9500</v>
      </c>
      <c r="H15" s="57">
        <v>8500</v>
      </c>
      <c r="I15" s="12">
        <f t="shared" si="0"/>
        <v>-1000</v>
      </c>
      <c r="J15" s="58">
        <v>9240.8</v>
      </c>
      <c r="K15" s="14">
        <f t="shared" si="2"/>
        <v>-259.2000000000007</v>
      </c>
      <c r="L15" s="59">
        <v>8000</v>
      </c>
      <c r="M15" s="78"/>
      <c r="N15" s="78"/>
      <c r="O15" s="78"/>
      <c r="P15" s="78"/>
      <c r="Q15" s="78"/>
      <c r="R15" s="78"/>
      <c r="S15" s="78"/>
      <c r="T15" s="79"/>
      <c r="U15" s="80"/>
      <c r="V15" s="80"/>
      <c r="W15" s="80"/>
      <c r="X15" s="80"/>
      <c r="Y15" s="80"/>
      <c r="Z15" s="80"/>
      <c r="AA15" s="80"/>
      <c r="AB15" s="81"/>
      <c r="AC15" s="81"/>
      <c r="AD15" s="81"/>
      <c r="AE15" s="81"/>
      <c r="AF15" s="81"/>
    </row>
    <row r="16" spans="1:32" s="82" customFormat="1" ht="14.25" customHeight="1">
      <c r="A16" s="109" t="s">
        <v>50</v>
      </c>
      <c r="B16" s="77">
        <f aca="true" t="shared" si="3" ref="B16:G16">B17+B18</f>
        <v>41472.3</v>
      </c>
      <c r="C16" s="77">
        <f t="shared" si="3"/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  <c r="H16" s="57"/>
      <c r="I16" s="12"/>
      <c r="J16" s="58"/>
      <c r="K16" s="14"/>
      <c r="L16" s="59"/>
      <c r="M16" s="78"/>
      <c r="N16" s="78"/>
      <c r="O16" s="78"/>
      <c r="P16" s="78"/>
      <c r="Q16" s="78"/>
      <c r="R16" s="78"/>
      <c r="S16" s="78"/>
      <c r="T16" s="79"/>
      <c r="U16" s="80"/>
      <c r="V16" s="80"/>
      <c r="W16" s="80"/>
      <c r="X16" s="80"/>
      <c r="Y16" s="80"/>
      <c r="Z16" s="80"/>
      <c r="AA16" s="80"/>
      <c r="AB16" s="81"/>
      <c r="AC16" s="81"/>
      <c r="AD16" s="81"/>
      <c r="AE16" s="81"/>
      <c r="AF16" s="81"/>
    </row>
    <row r="17" spans="1:32" s="61" customFormat="1" ht="14.25" customHeight="1">
      <c r="A17" s="107" t="s">
        <v>49</v>
      </c>
      <c r="B17" s="36">
        <v>19874.4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/>
      <c r="I17" s="24"/>
      <c r="J17" s="38"/>
      <c r="K17" s="39"/>
      <c r="L17" s="40"/>
      <c r="M17" s="41"/>
      <c r="N17" s="41"/>
      <c r="O17" s="41"/>
      <c r="P17" s="41"/>
      <c r="Q17" s="41"/>
      <c r="R17" s="41"/>
      <c r="S17" s="41"/>
      <c r="T17" s="42"/>
      <c r="U17" s="43"/>
      <c r="V17" s="43"/>
      <c r="W17" s="43"/>
      <c r="X17" s="43"/>
      <c r="Y17" s="43"/>
      <c r="Z17" s="43"/>
      <c r="AA17" s="43"/>
      <c r="AB17" s="60"/>
      <c r="AC17" s="60"/>
      <c r="AD17" s="60"/>
      <c r="AE17" s="60"/>
      <c r="AF17" s="60"/>
    </row>
    <row r="18" spans="1:32" s="61" customFormat="1" ht="14.25" customHeight="1">
      <c r="A18" s="107" t="s">
        <v>51</v>
      </c>
      <c r="B18" s="36">
        <v>21597.9</v>
      </c>
      <c r="C18" s="36">
        <v>0</v>
      </c>
      <c r="D18" s="36">
        <v>0</v>
      </c>
      <c r="E18" s="36">
        <v>0</v>
      </c>
      <c r="F18" s="36"/>
      <c r="G18" s="36"/>
      <c r="H18" s="37"/>
      <c r="I18" s="24"/>
      <c r="J18" s="38"/>
      <c r="K18" s="39"/>
      <c r="L18" s="40"/>
      <c r="M18" s="41"/>
      <c r="N18" s="41"/>
      <c r="O18" s="41"/>
      <c r="P18" s="41"/>
      <c r="Q18" s="41"/>
      <c r="R18" s="41"/>
      <c r="S18" s="41"/>
      <c r="T18" s="42"/>
      <c r="U18" s="43"/>
      <c r="V18" s="43"/>
      <c r="W18" s="43"/>
      <c r="X18" s="43"/>
      <c r="Y18" s="43"/>
      <c r="Z18" s="43"/>
      <c r="AA18" s="43"/>
      <c r="AB18" s="60"/>
      <c r="AC18" s="60"/>
      <c r="AD18" s="60"/>
      <c r="AE18" s="60"/>
      <c r="AF18" s="60"/>
    </row>
    <row r="19" spans="1:32" s="82" customFormat="1" ht="14.25" customHeight="1">
      <c r="A19" s="110" t="s">
        <v>42</v>
      </c>
      <c r="B19" s="56">
        <v>15391.5</v>
      </c>
      <c r="C19" s="56">
        <v>18453.2</v>
      </c>
      <c r="D19" s="56">
        <v>18203.6</v>
      </c>
      <c r="E19" s="56">
        <v>18761.5</v>
      </c>
      <c r="F19" s="56"/>
      <c r="G19" s="56">
        <f t="shared" si="1"/>
        <v>18761.5</v>
      </c>
      <c r="H19" s="57">
        <v>18000</v>
      </c>
      <c r="I19" s="12">
        <f t="shared" si="0"/>
        <v>-761.5</v>
      </c>
      <c r="J19" s="58">
        <v>18030.5</v>
      </c>
      <c r="K19" s="14">
        <f t="shared" si="2"/>
        <v>-731</v>
      </c>
      <c r="L19" s="59">
        <v>17205</v>
      </c>
      <c r="M19" s="78"/>
      <c r="N19" s="78"/>
      <c r="O19" s="78"/>
      <c r="P19" s="78"/>
      <c r="Q19" s="78"/>
      <c r="R19" s="78"/>
      <c r="S19" s="78"/>
      <c r="T19" s="79"/>
      <c r="U19" s="80"/>
      <c r="V19" s="80"/>
      <c r="W19" s="80"/>
      <c r="X19" s="80"/>
      <c r="Y19" s="80"/>
      <c r="Z19" s="80"/>
      <c r="AA19" s="80"/>
      <c r="AB19" s="81"/>
      <c r="AC19" s="81"/>
      <c r="AD19" s="81"/>
      <c r="AE19" s="81"/>
      <c r="AF19" s="81"/>
    </row>
    <row r="20" spans="1:32" s="82" customFormat="1" ht="14.25">
      <c r="A20" s="110" t="s">
        <v>43</v>
      </c>
      <c r="B20" s="56">
        <v>7604.5</v>
      </c>
      <c r="C20" s="56">
        <v>5792.6</v>
      </c>
      <c r="D20" s="56">
        <v>5874.8</v>
      </c>
      <c r="E20" s="56">
        <v>5305</v>
      </c>
      <c r="F20" s="56"/>
      <c r="G20" s="56">
        <f t="shared" si="1"/>
        <v>5305</v>
      </c>
      <c r="H20" s="57">
        <f>5550+100-18.8+200</f>
        <v>5831.2</v>
      </c>
      <c r="I20" s="12">
        <f t="shared" si="0"/>
        <v>526.1999999999998</v>
      </c>
      <c r="J20" s="58">
        <v>5275</v>
      </c>
      <c r="K20" s="14">
        <f t="shared" si="2"/>
        <v>-30</v>
      </c>
      <c r="L20" s="59">
        <v>5136</v>
      </c>
      <c r="M20" s="78"/>
      <c r="N20" s="78"/>
      <c r="O20" s="78"/>
      <c r="P20" s="78"/>
      <c r="Q20" s="78"/>
      <c r="R20" s="78"/>
      <c r="S20" s="78"/>
      <c r="T20" s="79"/>
      <c r="U20" s="80"/>
      <c r="V20" s="80"/>
      <c r="W20" s="80"/>
      <c r="X20" s="80"/>
      <c r="Y20" s="80"/>
      <c r="Z20" s="80"/>
      <c r="AA20" s="80"/>
      <c r="AB20" s="81"/>
      <c r="AC20" s="81"/>
      <c r="AD20" s="81"/>
      <c r="AE20" s="81"/>
      <c r="AF20" s="81"/>
    </row>
    <row r="21" spans="1:32" s="61" customFormat="1" ht="15.75" customHeight="1">
      <c r="A21" s="108" t="s">
        <v>44</v>
      </c>
      <c r="B21" s="75">
        <v>0.6</v>
      </c>
      <c r="C21" s="75">
        <v>0</v>
      </c>
      <c r="D21" s="75">
        <v>0.1</v>
      </c>
      <c r="E21" s="75">
        <v>0</v>
      </c>
      <c r="F21" s="75"/>
      <c r="G21" s="75">
        <f t="shared" si="1"/>
        <v>0</v>
      </c>
      <c r="H21" s="37">
        <v>0.1</v>
      </c>
      <c r="I21" s="24">
        <f t="shared" si="0"/>
        <v>0.1</v>
      </c>
      <c r="J21" s="38">
        <v>0.1</v>
      </c>
      <c r="K21" s="14">
        <f t="shared" si="2"/>
        <v>0.1</v>
      </c>
      <c r="L21" s="40">
        <v>0.1</v>
      </c>
      <c r="M21" s="41"/>
      <c r="N21" s="41"/>
      <c r="O21" s="41"/>
      <c r="P21" s="41"/>
      <c r="Q21" s="41"/>
      <c r="R21" s="41"/>
      <c r="S21" s="41"/>
      <c r="T21" s="42"/>
      <c r="U21" s="43"/>
      <c r="V21" s="43"/>
      <c r="W21" s="43"/>
      <c r="X21" s="43"/>
      <c r="Y21" s="43"/>
      <c r="Z21" s="43"/>
      <c r="AA21" s="43"/>
      <c r="AB21" s="60"/>
      <c r="AC21" s="60"/>
      <c r="AD21" s="60"/>
      <c r="AE21" s="60"/>
      <c r="AF21" s="60"/>
    </row>
    <row r="22" spans="1:32" ht="14.25" customHeight="1">
      <c r="A22" s="111" t="s">
        <v>0</v>
      </c>
      <c r="B22" s="83">
        <f>B5+B9+B10+B15+B19+B20+B21+B16</f>
        <v>813135.7999999999</v>
      </c>
      <c r="C22" s="83">
        <f>C5+C9+C10+C15+C19+C20+C21</f>
        <v>700533.1000000001</v>
      </c>
      <c r="D22" s="83">
        <f>D5+D9+D10+D15+D19+D20+D21+D16</f>
        <v>631066.2000000001</v>
      </c>
      <c r="E22" s="83">
        <f>E5+E9+E10+E15+E19+E20+E21+E16</f>
        <v>624806.3999999999</v>
      </c>
      <c r="F22" s="83">
        <f>F5+F9+F10+F15+F19+F20+F21+F16</f>
        <v>0</v>
      </c>
      <c r="G22" s="83">
        <f t="shared" si="1"/>
        <v>624806.3999999999</v>
      </c>
      <c r="H22" s="84">
        <f>H5+H9+H10+H15+H19+H20+H21</f>
        <v>626911.2999999999</v>
      </c>
      <c r="I22" s="85">
        <f t="shared" si="0"/>
        <v>2104.9000000000233</v>
      </c>
      <c r="J22" s="84">
        <f>J5+J9+J10+J15+J19+J20+J21</f>
        <v>639765.3</v>
      </c>
      <c r="K22" s="86">
        <f t="shared" si="2"/>
        <v>14958.90000000014</v>
      </c>
      <c r="L22" s="87">
        <f>L5+L9+L10+L15+L19+L20+L21</f>
        <v>642245.5</v>
      </c>
      <c r="M22" s="28"/>
      <c r="N22" s="28"/>
      <c r="O22" s="28"/>
      <c r="P22" s="28"/>
      <c r="Q22" s="28"/>
      <c r="R22" s="28"/>
      <c r="S22" s="28"/>
      <c r="T22" s="29"/>
      <c r="U22" s="19"/>
      <c r="V22" s="19"/>
      <c r="W22" s="19"/>
      <c r="X22" s="19"/>
      <c r="Y22" s="19"/>
      <c r="Z22" s="19"/>
      <c r="AA22" s="19"/>
      <c r="AB22" s="88"/>
      <c r="AC22" s="88"/>
      <c r="AD22" s="88"/>
      <c r="AE22" s="88"/>
      <c r="AF22" s="88"/>
    </row>
    <row r="23" spans="1:32" ht="31.5" customHeight="1">
      <c r="A23" s="55" t="s">
        <v>52</v>
      </c>
      <c r="B23" s="89">
        <f>SUM(B24+B25+B26+B29+B30)</f>
        <v>138525.09999999998</v>
      </c>
      <c r="C23" s="89">
        <f>SUM(C24+C25+C26+C29+C30)</f>
        <v>169474</v>
      </c>
      <c r="D23" s="89">
        <f>SUM(D24+D25+D26+D29+D30)</f>
        <v>176630.6</v>
      </c>
      <c r="E23" s="89">
        <f>SUM(E24+E25+E26+E29+E30)</f>
        <v>153562.1</v>
      </c>
      <c r="F23" s="89">
        <f>SUM(F25+F26+F30+F24+F29)</f>
        <v>1940</v>
      </c>
      <c r="G23" s="89">
        <f aca="true" t="shared" si="4" ref="G23:G46">SUM(E23:F23)</f>
        <v>155502.1</v>
      </c>
      <c r="H23" s="11">
        <f>SUM(H24+H25+H26+H29+H30)</f>
        <v>171042.8</v>
      </c>
      <c r="I23" s="12">
        <f t="shared" si="0"/>
        <v>15540.699999999983</v>
      </c>
      <c r="J23" s="13">
        <f>SUM(J24+J25+J26+J29+J30)</f>
        <v>165821.09999999998</v>
      </c>
      <c r="K23" s="14">
        <f t="shared" si="2"/>
        <v>10318.99999999997</v>
      </c>
      <c r="L23" s="15">
        <f>SUM(L24+L25+L26+L29+L30)</f>
        <v>165810.59999999998</v>
      </c>
      <c r="M23" s="28"/>
      <c r="N23" s="28"/>
      <c r="O23" s="28"/>
      <c r="P23" s="28"/>
      <c r="Q23" s="28"/>
      <c r="R23" s="28"/>
      <c r="S23" s="28"/>
      <c r="T23" s="29"/>
      <c r="U23" s="19"/>
      <c r="V23" s="19"/>
      <c r="W23" s="19"/>
      <c r="X23" s="19"/>
      <c r="Y23" s="19"/>
      <c r="Z23" s="19"/>
      <c r="AA23" s="19"/>
      <c r="AB23" s="88"/>
      <c r="AC23" s="88"/>
      <c r="AD23" s="88"/>
      <c r="AE23" s="88"/>
      <c r="AF23" s="88"/>
    </row>
    <row r="24" spans="1:32" s="61" customFormat="1" ht="48.75" customHeight="1">
      <c r="A24" s="74" t="s">
        <v>70</v>
      </c>
      <c r="B24" s="75">
        <v>138.4</v>
      </c>
      <c r="C24" s="75">
        <v>515.6</v>
      </c>
      <c r="D24" s="75">
        <v>857.1</v>
      </c>
      <c r="E24" s="75">
        <v>250</v>
      </c>
      <c r="F24" s="75"/>
      <c r="G24" s="75">
        <f t="shared" si="4"/>
        <v>250</v>
      </c>
      <c r="H24" s="37">
        <v>857.1</v>
      </c>
      <c r="I24" s="24">
        <f t="shared" si="0"/>
        <v>607.1</v>
      </c>
      <c r="J24" s="38">
        <v>857.1</v>
      </c>
      <c r="K24" s="39">
        <f t="shared" si="2"/>
        <v>607.1</v>
      </c>
      <c r="L24" s="40">
        <v>846.9</v>
      </c>
      <c r="M24" s="78"/>
      <c r="N24" s="78"/>
      <c r="O24" s="78"/>
      <c r="P24" s="78"/>
      <c r="Q24" s="78"/>
      <c r="R24" s="78"/>
      <c r="S24" s="78"/>
      <c r="T24" s="79"/>
      <c r="U24" s="43"/>
      <c r="V24" s="43"/>
      <c r="W24" s="43"/>
      <c r="X24" s="43"/>
      <c r="Y24" s="43"/>
      <c r="Z24" s="43"/>
      <c r="AA24" s="43"/>
      <c r="AB24" s="60"/>
      <c r="AC24" s="60"/>
      <c r="AD24" s="60"/>
      <c r="AE24" s="60"/>
      <c r="AF24" s="60"/>
    </row>
    <row r="25" spans="1:32" s="61" customFormat="1" ht="14.25" customHeight="1">
      <c r="A25" s="108" t="s">
        <v>16</v>
      </c>
      <c r="B25" s="75">
        <v>30</v>
      </c>
      <c r="C25" s="75">
        <v>229.1</v>
      </c>
      <c r="D25" s="75">
        <v>0</v>
      </c>
      <c r="E25" s="75">
        <v>0</v>
      </c>
      <c r="F25" s="75"/>
      <c r="G25" s="75">
        <f t="shared" si="4"/>
        <v>0</v>
      </c>
      <c r="H25" s="37">
        <v>0</v>
      </c>
      <c r="I25" s="24">
        <f t="shared" si="0"/>
        <v>0</v>
      </c>
      <c r="J25" s="38">
        <v>0</v>
      </c>
      <c r="K25" s="39">
        <f t="shared" si="2"/>
        <v>0</v>
      </c>
      <c r="L25" s="40">
        <v>0</v>
      </c>
      <c r="M25" s="41"/>
      <c r="N25" s="41"/>
      <c r="O25" s="41"/>
      <c r="P25" s="41"/>
      <c r="Q25" s="41"/>
      <c r="R25" s="41"/>
      <c r="S25" s="41"/>
      <c r="T25" s="42"/>
      <c r="U25" s="43"/>
      <c r="V25" s="43"/>
      <c r="W25" s="43"/>
      <c r="X25" s="43"/>
      <c r="Y25" s="43"/>
      <c r="Z25" s="43"/>
      <c r="AA25" s="43"/>
      <c r="AB25" s="60"/>
      <c r="AC25" s="60"/>
      <c r="AD25" s="60"/>
      <c r="AE25" s="60"/>
      <c r="AF25" s="60"/>
    </row>
    <row r="26" spans="1:32" s="99" customFormat="1" ht="43.5" customHeight="1">
      <c r="A26" s="55" t="s">
        <v>77</v>
      </c>
      <c r="B26" s="90">
        <f>SUM(B27:B28)</f>
        <v>70239.79999999999</v>
      </c>
      <c r="C26" s="90">
        <f>SUM(C27:C28)</f>
        <v>98787.6</v>
      </c>
      <c r="D26" s="90">
        <f>SUM(D27:D28)</f>
        <v>103457.2</v>
      </c>
      <c r="E26" s="90">
        <f>SUM(E27:E28)</f>
        <v>86236.3</v>
      </c>
      <c r="F26" s="90">
        <f>SUM(F27:F28)</f>
        <v>-2585.2</v>
      </c>
      <c r="G26" s="90">
        <f t="shared" si="4"/>
        <v>83651.1</v>
      </c>
      <c r="H26" s="91">
        <f>SUM(H27:H28)</f>
        <v>101078</v>
      </c>
      <c r="I26" s="92">
        <f t="shared" si="0"/>
        <v>17426.899999999994</v>
      </c>
      <c r="J26" s="93">
        <f>SUM(J27:J28)</f>
        <v>96106.29999999999</v>
      </c>
      <c r="K26" s="94">
        <f t="shared" si="2"/>
        <v>12455.199999999983</v>
      </c>
      <c r="L26" s="95">
        <f>SUM(L27:L28)</f>
        <v>96106.29999999999</v>
      </c>
      <c r="M26" s="96"/>
      <c r="N26" s="96"/>
      <c r="O26" s="96"/>
      <c r="P26" s="96"/>
      <c r="Q26" s="96"/>
      <c r="R26" s="96"/>
      <c r="S26" s="96"/>
      <c r="T26" s="96"/>
      <c r="U26" s="97"/>
      <c r="V26" s="97"/>
      <c r="W26" s="97"/>
      <c r="X26" s="97"/>
      <c r="Y26" s="97"/>
      <c r="Z26" s="97"/>
      <c r="AA26" s="97"/>
      <c r="AB26" s="98"/>
      <c r="AC26" s="98"/>
      <c r="AD26" s="98"/>
      <c r="AE26" s="98"/>
      <c r="AF26" s="98"/>
    </row>
    <row r="27" spans="1:32" s="61" customFormat="1" ht="14.25" customHeight="1">
      <c r="A27" s="108" t="s">
        <v>53</v>
      </c>
      <c r="B27" s="75">
        <v>68425.4</v>
      </c>
      <c r="C27" s="75">
        <v>96897</v>
      </c>
      <c r="D27" s="75">
        <v>101507.8</v>
      </c>
      <c r="E27" s="75">
        <v>84364.2</v>
      </c>
      <c r="F27" s="75">
        <v>-2585.2</v>
      </c>
      <c r="G27" s="75">
        <f t="shared" si="4"/>
        <v>81779</v>
      </c>
      <c r="H27" s="37">
        <v>99110.8</v>
      </c>
      <c r="I27" s="24">
        <f t="shared" si="0"/>
        <v>17331.800000000003</v>
      </c>
      <c r="J27" s="38">
        <v>94189.4</v>
      </c>
      <c r="K27" s="39">
        <f t="shared" si="2"/>
        <v>12410.399999999994</v>
      </c>
      <c r="L27" s="40">
        <v>94189.4</v>
      </c>
      <c r="M27" s="41"/>
      <c r="N27" s="41"/>
      <c r="O27" s="41"/>
      <c r="P27" s="41"/>
      <c r="Q27" s="41"/>
      <c r="R27" s="41"/>
      <c r="S27" s="41"/>
      <c r="T27" s="42"/>
      <c r="U27" s="43"/>
      <c r="V27" s="43"/>
      <c r="W27" s="43"/>
      <c r="X27" s="43"/>
      <c r="Y27" s="43"/>
      <c r="Z27" s="43"/>
      <c r="AA27" s="43"/>
      <c r="AB27" s="60"/>
      <c r="AC27" s="60"/>
      <c r="AD27" s="60"/>
      <c r="AE27" s="60"/>
      <c r="AF27" s="60"/>
    </row>
    <row r="28" spans="1:32" s="61" customFormat="1" ht="14.25" customHeight="1">
      <c r="A28" s="108" t="s">
        <v>54</v>
      </c>
      <c r="B28" s="75">
        <v>1814.4</v>
      </c>
      <c r="C28" s="75">
        <v>1890.6</v>
      </c>
      <c r="D28" s="75">
        <v>1949.4</v>
      </c>
      <c r="E28" s="75">
        <v>1872.1</v>
      </c>
      <c r="F28" s="75"/>
      <c r="G28" s="75">
        <f t="shared" si="4"/>
        <v>1872.1</v>
      </c>
      <c r="H28" s="37">
        <v>1967.2</v>
      </c>
      <c r="I28" s="24">
        <f t="shared" si="0"/>
        <v>95.10000000000014</v>
      </c>
      <c r="J28" s="38">
        <v>1916.9</v>
      </c>
      <c r="K28" s="39">
        <f t="shared" si="2"/>
        <v>44.80000000000018</v>
      </c>
      <c r="L28" s="40">
        <v>1916.9</v>
      </c>
      <c r="M28" s="41"/>
      <c r="N28" s="41"/>
      <c r="O28" s="41"/>
      <c r="P28" s="41"/>
      <c r="Q28" s="41"/>
      <c r="R28" s="41"/>
      <c r="S28" s="41"/>
      <c r="T28" s="42"/>
      <c r="U28" s="43"/>
      <c r="V28" s="43"/>
      <c r="W28" s="43"/>
      <c r="X28" s="43"/>
      <c r="Y28" s="43"/>
      <c r="Z28" s="43"/>
      <c r="AA28" s="43"/>
      <c r="AB28" s="60"/>
      <c r="AC28" s="60"/>
      <c r="AD28" s="60"/>
      <c r="AE28" s="60"/>
      <c r="AF28" s="60"/>
    </row>
    <row r="29" spans="1:32" s="82" customFormat="1" ht="14.25" customHeight="1">
      <c r="A29" s="110" t="s">
        <v>22</v>
      </c>
      <c r="B29" s="56">
        <v>65.3</v>
      </c>
      <c r="C29" s="56">
        <v>53.5</v>
      </c>
      <c r="D29" s="56">
        <v>58.3</v>
      </c>
      <c r="E29" s="56">
        <v>59</v>
      </c>
      <c r="F29" s="56"/>
      <c r="G29" s="56">
        <f t="shared" si="4"/>
        <v>59</v>
      </c>
      <c r="H29" s="57">
        <v>58.3</v>
      </c>
      <c r="I29" s="12">
        <f t="shared" si="0"/>
        <v>-0.7000000000000028</v>
      </c>
      <c r="J29" s="58">
        <v>58.3</v>
      </c>
      <c r="K29" s="14">
        <f t="shared" si="2"/>
        <v>-0.7000000000000028</v>
      </c>
      <c r="L29" s="59">
        <v>58</v>
      </c>
      <c r="M29" s="78"/>
      <c r="N29" s="78"/>
      <c r="O29" s="78"/>
      <c r="P29" s="78"/>
      <c r="Q29" s="78"/>
      <c r="R29" s="78"/>
      <c r="S29" s="78"/>
      <c r="T29" s="79"/>
      <c r="U29" s="80"/>
      <c r="V29" s="80"/>
      <c r="W29" s="80"/>
      <c r="X29" s="80"/>
      <c r="Y29" s="80"/>
      <c r="Z29" s="80"/>
      <c r="AA29" s="80"/>
      <c r="AB29" s="81"/>
      <c r="AC29" s="81"/>
      <c r="AD29" s="81"/>
      <c r="AE29" s="81"/>
      <c r="AF29" s="81"/>
    </row>
    <row r="30" spans="1:32" s="61" customFormat="1" ht="14.25" customHeight="1">
      <c r="A30" s="110" t="s">
        <v>55</v>
      </c>
      <c r="B30" s="56">
        <f>SUM(B31:B33)</f>
        <v>68051.6</v>
      </c>
      <c r="C30" s="56">
        <f>SUM(C31:C33)</f>
        <v>69888.20000000001</v>
      </c>
      <c r="D30" s="56">
        <f>SUM(D31:D33)</f>
        <v>72258</v>
      </c>
      <c r="E30" s="56">
        <f>SUM(E31:E33)</f>
        <v>67016.8</v>
      </c>
      <c r="F30" s="56">
        <f>SUM(F31:F33)</f>
        <v>4525.2</v>
      </c>
      <c r="G30" s="56">
        <f t="shared" si="4"/>
        <v>71542</v>
      </c>
      <c r="H30" s="57">
        <f>SUM(H31:H33)</f>
        <v>69049.4</v>
      </c>
      <c r="I30" s="12">
        <f t="shared" si="0"/>
        <v>-2492.600000000006</v>
      </c>
      <c r="J30" s="58">
        <f>SUM(J31:J33)</f>
        <v>68799.4</v>
      </c>
      <c r="K30" s="14">
        <f t="shared" si="2"/>
        <v>-2742.600000000006</v>
      </c>
      <c r="L30" s="59">
        <f>SUM(L31:L33)</f>
        <v>68799.4</v>
      </c>
      <c r="M30" s="41"/>
      <c r="N30" s="41"/>
      <c r="O30" s="41"/>
      <c r="P30" s="41"/>
      <c r="Q30" s="41"/>
      <c r="R30" s="41"/>
      <c r="S30" s="41"/>
      <c r="T30" s="42"/>
      <c r="U30" s="43"/>
      <c r="V30" s="43"/>
      <c r="W30" s="43"/>
      <c r="X30" s="43"/>
      <c r="Y30" s="43"/>
      <c r="Z30" s="43"/>
      <c r="AA30" s="43"/>
      <c r="AB30" s="60"/>
      <c r="AC30" s="60"/>
      <c r="AD30" s="60"/>
      <c r="AE30" s="60"/>
      <c r="AF30" s="60"/>
    </row>
    <row r="31" spans="1:32" s="61" customFormat="1" ht="14.25" customHeight="1">
      <c r="A31" s="108" t="s">
        <v>17</v>
      </c>
      <c r="B31" s="75">
        <v>65404.9</v>
      </c>
      <c r="C31" s="75">
        <v>67360.1</v>
      </c>
      <c r="D31" s="75">
        <v>69168.8</v>
      </c>
      <c r="E31" s="75">
        <v>64356.8</v>
      </c>
      <c r="F31" s="75">
        <f>4525.2</f>
        <v>4525.2</v>
      </c>
      <c r="G31" s="75">
        <f t="shared" si="4"/>
        <v>68882</v>
      </c>
      <c r="H31" s="37">
        <v>66099.4</v>
      </c>
      <c r="I31" s="24">
        <f t="shared" si="0"/>
        <v>-2782.600000000006</v>
      </c>
      <c r="J31" s="38">
        <v>66099.4</v>
      </c>
      <c r="K31" s="39">
        <f t="shared" si="2"/>
        <v>-2782.600000000006</v>
      </c>
      <c r="L31" s="40">
        <v>66099.4</v>
      </c>
      <c r="M31" s="41"/>
      <c r="N31" s="41"/>
      <c r="O31" s="41"/>
      <c r="P31" s="41"/>
      <c r="Q31" s="41"/>
      <c r="R31" s="41"/>
      <c r="S31" s="41"/>
      <c r="T31" s="42"/>
      <c r="U31" s="43"/>
      <c r="V31" s="43"/>
      <c r="W31" s="43"/>
      <c r="X31" s="43"/>
      <c r="Y31" s="43"/>
      <c r="Z31" s="43"/>
      <c r="AA31" s="43"/>
      <c r="AB31" s="60"/>
      <c r="AC31" s="60"/>
      <c r="AD31" s="60"/>
      <c r="AE31" s="60"/>
      <c r="AF31" s="60"/>
    </row>
    <row r="32" spans="1:32" s="61" customFormat="1" ht="14.25" customHeight="1">
      <c r="A32" s="108" t="s">
        <v>56</v>
      </c>
      <c r="B32" s="75">
        <v>1816.1</v>
      </c>
      <c r="C32" s="75">
        <v>1944.6</v>
      </c>
      <c r="D32" s="75">
        <v>2601.4</v>
      </c>
      <c r="E32" s="75">
        <v>2210</v>
      </c>
      <c r="F32" s="75"/>
      <c r="G32" s="75">
        <f t="shared" si="4"/>
        <v>2210</v>
      </c>
      <c r="H32" s="37">
        <v>2500</v>
      </c>
      <c r="I32" s="24">
        <f t="shared" si="0"/>
        <v>290</v>
      </c>
      <c r="J32" s="38">
        <v>2200</v>
      </c>
      <c r="K32" s="39">
        <f t="shared" si="2"/>
        <v>-10</v>
      </c>
      <c r="L32" s="40">
        <v>2200</v>
      </c>
      <c r="M32" s="41"/>
      <c r="N32" s="41"/>
      <c r="O32" s="41"/>
      <c r="P32" s="41"/>
      <c r="Q32" s="41"/>
      <c r="R32" s="41"/>
      <c r="S32" s="41"/>
      <c r="T32" s="42"/>
      <c r="U32" s="43"/>
      <c r="V32" s="43"/>
      <c r="W32" s="43"/>
      <c r="X32" s="43"/>
      <c r="Y32" s="43"/>
      <c r="Z32" s="43"/>
      <c r="AA32" s="43"/>
      <c r="AB32" s="60"/>
      <c r="AC32" s="60"/>
      <c r="AD32" s="60"/>
      <c r="AE32" s="60"/>
      <c r="AF32" s="60"/>
    </row>
    <row r="33" spans="1:32" s="61" customFormat="1" ht="19.5" customHeight="1">
      <c r="A33" s="108" t="s">
        <v>57</v>
      </c>
      <c r="B33" s="75">
        <v>830.6</v>
      </c>
      <c r="C33" s="75">
        <v>583.5</v>
      </c>
      <c r="D33" s="75">
        <v>487.8</v>
      </c>
      <c r="E33" s="75">
        <v>450</v>
      </c>
      <c r="F33" s="75"/>
      <c r="G33" s="75">
        <f t="shared" si="4"/>
        <v>450</v>
      </c>
      <c r="H33" s="37">
        <v>450</v>
      </c>
      <c r="I33" s="24">
        <f t="shared" si="0"/>
        <v>0</v>
      </c>
      <c r="J33" s="38">
        <v>500</v>
      </c>
      <c r="K33" s="39">
        <f t="shared" si="2"/>
        <v>50</v>
      </c>
      <c r="L33" s="40">
        <v>500</v>
      </c>
      <c r="M33" s="41"/>
      <c r="N33" s="41"/>
      <c r="O33" s="41"/>
      <c r="P33" s="41"/>
      <c r="Q33" s="41"/>
      <c r="R33" s="41"/>
      <c r="S33" s="41"/>
      <c r="T33" s="42"/>
      <c r="U33" s="43"/>
      <c r="V33" s="43"/>
      <c r="W33" s="43"/>
      <c r="X33" s="43"/>
      <c r="Y33" s="43"/>
      <c r="Z33" s="43"/>
      <c r="AA33" s="43"/>
      <c r="AB33" s="60"/>
      <c r="AC33" s="60"/>
      <c r="AD33" s="60"/>
      <c r="AE33" s="60"/>
      <c r="AF33" s="60"/>
    </row>
    <row r="34" spans="1:32" s="82" customFormat="1" ht="32.25" customHeight="1">
      <c r="A34" s="55" t="s">
        <v>58</v>
      </c>
      <c r="B34" s="56">
        <v>2004.1</v>
      </c>
      <c r="C34" s="56">
        <v>2061.9</v>
      </c>
      <c r="D34" s="56">
        <v>1910.7</v>
      </c>
      <c r="E34" s="56">
        <v>687.5</v>
      </c>
      <c r="F34" s="56"/>
      <c r="G34" s="56">
        <f t="shared" si="4"/>
        <v>687.5</v>
      </c>
      <c r="H34" s="57">
        <v>1800</v>
      </c>
      <c r="I34" s="12">
        <f t="shared" si="0"/>
        <v>1112.5</v>
      </c>
      <c r="J34" s="58">
        <v>2000</v>
      </c>
      <c r="K34" s="14">
        <f t="shared" si="2"/>
        <v>1312.5</v>
      </c>
      <c r="L34" s="59">
        <v>2000</v>
      </c>
      <c r="M34" s="78"/>
      <c r="N34" s="78"/>
      <c r="O34" s="78"/>
      <c r="P34" s="78"/>
      <c r="Q34" s="78"/>
      <c r="R34" s="78"/>
      <c r="S34" s="78"/>
      <c r="T34" s="79"/>
      <c r="U34" s="80"/>
      <c r="V34" s="80"/>
      <c r="W34" s="80"/>
      <c r="X34" s="80"/>
      <c r="Y34" s="80"/>
      <c r="Z34" s="80"/>
      <c r="AA34" s="80"/>
      <c r="AB34" s="81"/>
      <c r="AC34" s="81"/>
      <c r="AD34" s="81"/>
      <c r="AE34" s="81"/>
      <c r="AF34" s="81"/>
    </row>
    <row r="35" spans="1:32" s="82" customFormat="1" ht="30.75" customHeight="1">
      <c r="A35" s="55" t="s">
        <v>65</v>
      </c>
      <c r="B35" s="77">
        <f>SUM(B36:B37)</f>
        <v>2355.6</v>
      </c>
      <c r="C35" s="77">
        <f>SUM(C36:C37)</f>
        <v>2476.6</v>
      </c>
      <c r="D35" s="77">
        <f>SUM(D36:D37)</f>
        <v>3090.7</v>
      </c>
      <c r="E35" s="77">
        <f>SUM(E36:E37)</f>
        <v>1727</v>
      </c>
      <c r="F35" s="77">
        <f>SUM(F36:F37)</f>
        <v>0</v>
      </c>
      <c r="G35" s="56">
        <f t="shared" si="4"/>
        <v>1727</v>
      </c>
      <c r="H35" s="57">
        <f>SUM(H36:H37)</f>
        <v>1882</v>
      </c>
      <c r="I35" s="12">
        <f t="shared" si="0"/>
        <v>155</v>
      </c>
      <c r="J35" s="58">
        <f>SUM(J36:J37)</f>
        <v>1710</v>
      </c>
      <c r="K35" s="14">
        <f t="shared" si="2"/>
        <v>-17</v>
      </c>
      <c r="L35" s="59">
        <f>SUM(L36:L37)</f>
        <v>1710</v>
      </c>
      <c r="M35" s="78"/>
      <c r="N35" s="78"/>
      <c r="O35" s="78"/>
      <c r="P35" s="78"/>
      <c r="Q35" s="78"/>
      <c r="R35" s="78"/>
      <c r="S35" s="78"/>
      <c r="T35" s="79"/>
      <c r="U35" s="80"/>
      <c r="V35" s="80"/>
      <c r="W35" s="80"/>
      <c r="X35" s="80"/>
      <c r="Y35" s="80"/>
      <c r="Z35" s="80"/>
      <c r="AA35" s="80"/>
      <c r="AB35" s="81"/>
      <c r="AC35" s="81"/>
      <c r="AD35" s="81"/>
      <c r="AE35" s="81"/>
      <c r="AF35" s="81"/>
    </row>
    <row r="36" spans="1:32" s="61" customFormat="1" ht="17.25" customHeight="1">
      <c r="A36" s="108" t="s">
        <v>18</v>
      </c>
      <c r="B36" s="75">
        <v>1456.5</v>
      </c>
      <c r="C36" s="75">
        <v>1177.5</v>
      </c>
      <c r="D36" s="75">
        <v>771.6</v>
      </c>
      <c r="E36" s="75">
        <v>407</v>
      </c>
      <c r="F36" s="75"/>
      <c r="G36" s="75">
        <f t="shared" si="4"/>
        <v>407</v>
      </c>
      <c r="H36" s="37">
        <v>382</v>
      </c>
      <c r="I36" s="24">
        <f t="shared" si="0"/>
        <v>-25</v>
      </c>
      <c r="J36" s="38">
        <v>410</v>
      </c>
      <c r="K36" s="39">
        <f t="shared" si="2"/>
        <v>3</v>
      </c>
      <c r="L36" s="40">
        <v>410</v>
      </c>
      <c r="M36" s="41"/>
      <c r="N36" s="41"/>
      <c r="O36" s="41"/>
      <c r="P36" s="41"/>
      <c r="Q36" s="41"/>
      <c r="R36" s="41"/>
      <c r="S36" s="41"/>
      <c r="T36" s="42"/>
      <c r="U36" s="43"/>
      <c r="V36" s="43"/>
      <c r="W36" s="43"/>
      <c r="X36" s="43"/>
      <c r="Y36" s="43"/>
      <c r="Z36" s="43"/>
      <c r="AA36" s="43"/>
      <c r="AB36" s="60"/>
      <c r="AC36" s="60"/>
      <c r="AD36" s="60"/>
      <c r="AE36" s="60"/>
      <c r="AF36" s="60"/>
    </row>
    <row r="37" spans="1:32" s="61" customFormat="1" ht="16.5" customHeight="1">
      <c r="A37" s="108" t="s">
        <v>59</v>
      </c>
      <c r="B37" s="75">
        <v>899.1</v>
      </c>
      <c r="C37" s="75">
        <v>1299.1</v>
      </c>
      <c r="D37" s="75">
        <v>2319.1</v>
      </c>
      <c r="E37" s="75">
        <v>1320</v>
      </c>
      <c r="F37" s="75"/>
      <c r="G37" s="75">
        <f t="shared" si="4"/>
        <v>1320</v>
      </c>
      <c r="H37" s="37">
        <v>1500</v>
      </c>
      <c r="I37" s="24">
        <f t="shared" si="0"/>
        <v>180</v>
      </c>
      <c r="J37" s="38">
        <v>1300</v>
      </c>
      <c r="K37" s="39">
        <f t="shared" si="2"/>
        <v>-20</v>
      </c>
      <c r="L37" s="40">
        <v>1300</v>
      </c>
      <c r="M37" s="41"/>
      <c r="N37" s="41"/>
      <c r="O37" s="41"/>
      <c r="P37" s="41"/>
      <c r="Q37" s="41"/>
      <c r="R37" s="41"/>
      <c r="S37" s="41"/>
      <c r="T37" s="42"/>
      <c r="U37" s="43"/>
      <c r="V37" s="43"/>
      <c r="W37" s="43"/>
      <c r="X37" s="43"/>
      <c r="Y37" s="43"/>
      <c r="Z37" s="43"/>
      <c r="AA37" s="43"/>
      <c r="AB37" s="60"/>
      <c r="AC37" s="60"/>
      <c r="AD37" s="60"/>
      <c r="AE37" s="60"/>
      <c r="AF37" s="60"/>
    </row>
    <row r="38" spans="1:32" s="61" customFormat="1" ht="33" customHeight="1">
      <c r="A38" s="55" t="s">
        <v>66</v>
      </c>
      <c r="B38" s="56">
        <f>(B39+B40+B41)</f>
        <v>34418.2</v>
      </c>
      <c r="C38" s="56">
        <f>(C39+C40+C41)</f>
        <v>33111.7</v>
      </c>
      <c r="D38" s="56">
        <f>(D39+D40+D41)</f>
        <v>59281.399999999994</v>
      </c>
      <c r="E38" s="56">
        <f>(E39+E40+E41)</f>
        <v>18660.1</v>
      </c>
      <c r="F38" s="56">
        <f>(F39+F40+F41)</f>
        <v>3080</v>
      </c>
      <c r="G38" s="56">
        <f t="shared" si="4"/>
        <v>21740.1</v>
      </c>
      <c r="H38" s="57">
        <f>(H39+H40+H41)</f>
        <v>57570.9</v>
      </c>
      <c r="I38" s="12">
        <f t="shared" si="0"/>
        <v>35830.8</v>
      </c>
      <c r="J38" s="58">
        <f>(J39+J40+J41)</f>
        <v>30206.6</v>
      </c>
      <c r="K38" s="14">
        <f t="shared" si="2"/>
        <v>8466.5</v>
      </c>
      <c r="L38" s="59">
        <f>(L39+L40+L41)</f>
        <v>30206.6</v>
      </c>
      <c r="M38" s="41"/>
      <c r="N38" s="41"/>
      <c r="O38" s="41"/>
      <c r="P38" s="41"/>
      <c r="Q38" s="41"/>
      <c r="R38" s="41"/>
      <c r="S38" s="41"/>
      <c r="T38" s="42"/>
      <c r="U38" s="43"/>
      <c r="V38" s="43"/>
      <c r="W38" s="43"/>
      <c r="X38" s="43"/>
      <c r="Y38" s="43"/>
      <c r="Z38" s="43"/>
      <c r="AA38" s="43"/>
      <c r="AB38" s="60"/>
      <c r="AC38" s="60"/>
      <c r="AD38" s="60"/>
      <c r="AE38" s="60"/>
      <c r="AF38" s="60"/>
    </row>
    <row r="39" spans="1:32" s="61" customFormat="1" ht="14.25" customHeight="1">
      <c r="A39" s="108" t="s">
        <v>60</v>
      </c>
      <c r="B39" s="75">
        <v>10388.5</v>
      </c>
      <c r="C39" s="75">
        <v>17124.7</v>
      </c>
      <c r="D39" s="75">
        <v>21905.6</v>
      </c>
      <c r="E39" s="75">
        <v>10000</v>
      </c>
      <c r="F39" s="75">
        <f>2480-400</f>
        <v>2080</v>
      </c>
      <c r="G39" s="75">
        <f t="shared" si="4"/>
        <v>12080</v>
      </c>
      <c r="H39" s="37">
        <f>20200+300</f>
        <v>20500</v>
      </c>
      <c r="I39" s="24">
        <f t="shared" si="0"/>
        <v>8420</v>
      </c>
      <c r="J39" s="38">
        <v>17000</v>
      </c>
      <c r="K39" s="39">
        <f t="shared" si="2"/>
        <v>4920</v>
      </c>
      <c r="L39" s="40">
        <v>17000</v>
      </c>
      <c r="M39" s="41"/>
      <c r="N39" s="41"/>
      <c r="O39" s="41"/>
      <c r="P39" s="41"/>
      <c r="Q39" s="41"/>
      <c r="R39" s="41"/>
      <c r="S39" s="41"/>
      <c r="T39" s="42"/>
      <c r="U39" s="43"/>
      <c r="V39" s="43"/>
      <c r="W39" s="43"/>
      <c r="X39" s="43"/>
      <c r="Y39" s="43"/>
      <c r="Z39" s="43"/>
      <c r="AA39" s="43"/>
      <c r="AB39" s="60"/>
      <c r="AC39" s="60"/>
      <c r="AD39" s="60"/>
      <c r="AE39" s="60"/>
      <c r="AF39" s="60"/>
    </row>
    <row r="40" spans="1:32" s="61" customFormat="1" ht="14.25" customHeight="1">
      <c r="A40" s="108" t="s">
        <v>61</v>
      </c>
      <c r="B40" s="75">
        <v>16226.1</v>
      </c>
      <c r="C40" s="75">
        <v>4896.3</v>
      </c>
      <c r="D40" s="75">
        <v>28911.6</v>
      </c>
      <c r="E40" s="75">
        <v>7950.5</v>
      </c>
      <c r="F40" s="75"/>
      <c r="G40" s="75">
        <f t="shared" si="4"/>
        <v>7950.5</v>
      </c>
      <c r="H40" s="37">
        <f>2738.4+26561.9</f>
        <v>29300.300000000003</v>
      </c>
      <c r="I40" s="24">
        <f t="shared" si="0"/>
        <v>21349.800000000003</v>
      </c>
      <c r="J40" s="38">
        <v>7443.7</v>
      </c>
      <c r="K40" s="39">
        <f t="shared" si="2"/>
        <v>-506.8000000000002</v>
      </c>
      <c r="L40" s="40">
        <v>7443.7</v>
      </c>
      <c r="M40" s="41"/>
      <c r="N40" s="41"/>
      <c r="O40" s="41"/>
      <c r="P40" s="41"/>
      <c r="Q40" s="41"/>
      <c r="R40" s="41"/>
      <c r="S40" s="41"/>
      <c r="T40" s="42"/>
      <c r="U40" s="43"/>
      <c r="V40" s="43"/>
      <c r="W40" s="43"/>
      <c r="X40" s="43"/>
      <c r="Y40" s="43"/>
      <c r="Z40" s="43"/>
      <c r="AA40" s="43"/>
      <c r="AB40" s="60"/>
      <c r="AC40" s="60"/>
      <c r="AD40" s="60"/>
      <c r="AE40" s="60"/>
      <c r="AF40" s="60"/>
    </row>
    <row r="41" spans="1:32" s="100" customFormat="1" ht="29.25" customHeight="1">
      <c r="A41" s="76" t="s">
        <v>67</v>
      </c>
      <c r="B41" s="77">
        <f>B42+B43</f>
        <v>7803.6</v>
      </c>
      <c r="C41" s="77">
        <f>C42+C43</f>
        <v>11090.699999999999</v>
      </c>
      <c r="D41" s="77">
        <f>D42+D43+D44</f>
        <v>8464.2</v>
      </c>
      <c r="E41" s="77">
        <f>E42+E43</f>
        <v>709.5999999999999</v>
      </c>
      <c r="F41" s="77">
        <f>F42+F43</f>
        <v>1000</v>
      </c>
      <c r="G41" s="77">
        <f t="shared" si="4"/>
        <v>1709.6</v>
      </c>
      <c r="H41" s="57">
        <f>H42+H43</f>
        <v>7770.6</v>
      </c>
      <c r="I41" s="12">
        <f t="shared" si="0"/>
        <v>6061</v>
      </c>
      <c r="J41" s="58">
        <f>J42+J43</f>
        <v>5762.9</v>
      </c>
      <c r="K41" s="14">
        <f t="shared" si="2"/>
        <v>4053.2999999999997</v>
      </c>
      <c r="L41" s="59">
        <f>L42+L43</f>
        <v>5762.9</v>
      </c>
      <c r="M41" s="78"/>
      <c r="N41" s="78"/>
      <c r="O41" s="78"/>
      <c r="P41" s="78"/>
      <c r="Q41" s="78"/>
      <c r="R41" s="78"/>
      <c r="S41" s="78"/>
      <c r="T41" s="79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</row>
    <row r="42" spans="1:32" s="44" customFormat="1" ht="14.25" customHeight="1">
      <c r="A42" s="107" t="s">
        <v>30</v>
      </c>
      <c r="B42" s="36">
        <v>7803.6</v>
      </c>
      <c r="C42" s="36">
        <v>10444.4</v>
      </c>
      <c r="D42" s="36">
        <v>7705.2</v>
      </c>
      <c r="E42" s="36">
        <v>445.4</v>
      </c>
      <c r="F42" s="36">
        <v>1000</v>
      </c>
      <c r="G42" s="36">
        <f t="shared" si="4"/>
        <v>1445.4</v>
      </c>
      <c r="H42" s="37">
        <v>6993.6</v>
      </c>
      <c r="I42" s="24">
        <f t="shared" si="0"/>
        <v>5548.200000000001</v>
      </c>
      <c r="J42" s="38">
        <v>3286.9</v>
      </c>
      <c r="K42" s="39">
        <f t="shared" si="2"/>
        <v>1841.5</v>
      </c>
      <c r="L42" s="40">
        <v>3286.9</v>
      </c>
      <c r="M42" s="41"/>
      <c r="N42" s="41"/>
      <c r="O42" s="41"/>
      <c r="P42" s="41"/>
      <c r="Q42" s="41"/>
      <c r="R42" s="41"/>
      <c r="S42" s="41"/>
      <c r="T42" s="42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</row>
    <row r="43" spans="1:32" s="44" customFormat="1" ht="14.25" customHeight="1">
      <c r="A43" s="107" t="s">
        <v>31</v>
      </c>
      <c r="B43" s="36"/>
      <c r="C43" s="36">
        <v>646.3</v>
      </c>
      <c r="D43" s="36">
        <v>733</v>
      </c>
      <c r="E43" s="36">
        <v>264.2</v>
      </c>
      <c r="F43" s="36"/>
      <c r="G43" s="36">
        <f t="shared" si="4"/>
        <v>264.2</v>
      </c>
      <c r="H43" s="37">
        <f>67+710</f>
        <v>777</v>
      </c>
      <c r="I43" s="24">
        <f t="shared" si="0"/>
        <v>512.8</v>
      </c>
      <c r="J43" s="38">
        <v>2476</v>
      </c>
      <c r="K43" s="39">
        <f t="shared" si="2"/>
        <v>2211.8</v>
      </c>
      <c r="L43" s="40">
        <v>2476</v>
      </c>
      <c r="M43" s="41"/>
      <c r="N43" s="41"/>
      <c r="O43" s="41"/>
      <c r="P43" s="41"/>
      <c r="Q43" s="41"/>
      <c r="R43" s="41"/>
      <c r="S43" s="41"/>
      <c r="T43" s="42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</row>
    <row r="44" spans="1:32" s="44" customFormat="1" ht="33.75" customHeight="1">
      <c r="A44" s="35" t="s">
        <v>69</v>
      </c>
      <c r="B44" s="36">
        <v>0</v>
      </c>
      <c r="C44" s="36">
        <v>0</v>
      </c>
      <c r="D44" s="36">
        <v>26</v>
      </c>
      <c r="E44" s="36">
        <v>0</v>
      </c>
      <c r="F44" s="36"/>
      <c r="G44" s="36">
        <f t="shared" si="4"/>
        <v>0</v>
      </c>
      <c r="H44" s="37"/>
      <c r="I44" s="24"/>
      <c r="J44" s="38"/>
      <c r="K44" s="39"/>
      <c r="L44" s="40"/>
      <c r="M44" s="41"/>
      <c r="N44" s="41"/>
      <c r="O44" s="41"/>
      <c r="P44" s="41"/>
      <c r="Q44" s="41"/>
      <c r="R44" s="41"/>
      <c r="S44" s="41"/>
      <c r="T44" s="42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s="100" customFormat="1" ht="14.25" customHeight="1">
      <c r="A45" s="109" t="s">
        <v>19</v>
      </c>
      <c r="B45" s="77">
        <v>54913.5</v>
      </c>
      <c r="C45" s="77">
        <v>16044.7</v>
      </c>
      <c r="D45" s="77">
        <v>23483.2</v>
      </c>
      <c r="E45" s="77">
        <v>4361.3</v>
      </c>
      <c r="F45" s="77">
        <f>1700+1673.3</f>
        <v>3373.3</v>
      </c>
      <c r="G45" s="77">
        <f t="shared" si="4"/>
        <v>7734.6</v>
      </c>
      <c r="H45" s="57">
        <f>11500+3175.2-200-300+600</f>
        <v>14775.2</v>
      </c>
      <c r="I45" s="12">
        <f t="shared" si="0"/>
        <v>7040.6</v>
      </c>
      <c r="J45" s="58">
        <v>6993</v>
      </c>
      <c r="K45" s="14">
        <f t="shared" si="2"/>
        <v>-741.6000000000004</v>
      </c>
      <c r="L45" s="59">
        <v>6101</v>
      </c>
      <c r="M45" s="78"/>
      <c r="N45" s="78"/>
      <c r="O45" s="78"/>
      <c r="P45" s="78"/>
      <c r="Q45" s="78"/>
      <c r="R45" s="78"/>
      <c r="S45" s="78"/>
      <c r="T45" s="79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s="82" customFormat="1" ht="14.25" customHeight="1">
      <c r="A46" s="110" t="s">
        <v>20</v>
      </c>
      <c r="B46" s="56">
        <f>SUM(B47+B48)</f>
        <v>150.6</v>
      </c>
      <c r="C46" s="56">
        <f>SUM(C47+C48)</f>
        <v>30.700000000000003</v>
      </c>
      <c r="D46" s="56">
        <f>SUM(D47+D48)</f>
        <v>468.2</v>
      </c>
      <c r="E46" s="56">
        <v>0</v>
      </c>
      <c r="F46" s="56">
        <f>SUM(F47+F48)</f>
        <v>0</v>
      </c>
      <c r="G46" s="56">
        <f t="shared" si="4"/>
        <v>0</v>
      </c>
      <c r="H46" s="57">
        <f>H48</f>
        <v>468.2</v>
      </c>
      <c r="I46" s="12">
        <f t="shared" si="0"/>
        <v>468.2</v>
      </c>
      <c r="J46" s="58">
        <f>J48</f>
        <v>451.6</v>
      </c>
      <c r="K46" s="14">
        <f t="shared" si="2"/>
        <v>451.6</v>
      </c>
      <c r="L46" s="59">
        <f>L48</f>
        <v>451.6</v>
      </c>
      <c r="M46" s="78"/>
      <c r="N46" s="78"/>
      <c r="O46" s="78"/>
      <c r="P46" s="78"/>
      <c r="Q46" s="78"/>
      <c r="R46" s="78"/>
      <c r="S46" s="78"/>
      <c r="T46" s="79"/>
      <c r="U46" s="80"/>
      <c r="V46" s="80"/>
      <c r="W46" s="80"/>
      <c r="X46" s="80"/>
      <c r="Y46" s="80"/>
      <c r="Z46" s="80"/>
      <c r="AA46" s="80"/>
      <c r="AB46" s="81"/>
      <c r="AC46" s="81"/>
      <c r="AD46" s="81"/>
      <c r="AE46" s="81"/>
      <c r="AF46" s="81"/>
    </row>
    <row r="47" spans="1:32" s="61" customFormat="1" ht="14.25" customHeight="1">
      <c r="A47" s="108" t="s">
        <v>5</v>
      </c>
      <c r="B47" s="75">
        <v>1.4</v>
      </c>
      <c r="C47" s="75">
        <v>-4</v>
      </c>
      <c r="D47" s="75">
        <v>0</v>
      </c>
      <c r="E47" s="75">
        <v>0</v>
      </c>
      <c r="F47" s="75">
        <v>0</v>
      </c>
      <c r="G47" s="75">
        <v>0</v>
      </c>
      <c r="H47" s="37">
        <v>0</v>
      </c>
      <c r="I47" s="24">
        <f t="shared" si="0"/>
        <v>0</v>
      </c>
      <c r="J47" s="38">
        <v>0</v>
      </c>
      <c r="K47" s="39">
        <f t="shared" si="2"/>
        <v>0</v>
      </c>
      <c r="L47" s="40">
        <v>0</v>
      </c>
      <c r="M47" s="41"/>
      <c r="N47" s="41"/>
      <c r="O47" s="41"/>
      <c r="P47" s="41"/>
      <c r="Q47" s="41"/>
      <c r="R47" s="41"/>
      <c r="S47" s="41"/>
      <c r="T47" s="42"/>
      <c r="U47" s="43"/>
      <c r="V47" s="43"/>
      <c r="W47" s="43"/>
      <c r="X47" s="43"/>
      <c r="Y47" s="43"/>
      <c r="Z47" s="43"/>
      <c r="AA47" s="43"/>
      <c r="AB47" s="60"/>
      <c r="AC47" s="60"/>
      <c r="AD47" s="60"/>
      <c r="AE47" s="60"/>
      <c r="AF47" s="60"/>
    </row>
    <row r="48" spans="1:32" s="61" customFormat="1" ht="14.25" customHeight="1">
      <c r="A48" s="108" t="s">
        <v>10</v>
      </c>
      <c r="B48" s="75">
        <v>149.2</v>
      </c>
      <c r="C48" s="75">
        <v>34.7</v>
      </c>
      <c r="D48" s="75">
        <v>468.2</v>
      </c>
      <c r="E48" s="75">
        <v>0</v>
      </c>
      <c r="F48" s="75"/>
      <c r="G48" s="75">
        <f>SUM(E48:F48)</f>
        <v>0</v>
      </c>
      <c r="H48" s="37">
        <v>468.2</v>
      </c>
      <c r="I48" s="24">
        <f t="shared" si="0"/>
        <v>468.2</v>
      </c>
      <c r="J48" s="38">
        <v>451.6</v>
      </c>
      <c r="K48" s="39">
        <f t="shared" si="2"/>
        <v>451.6</v>
      </c>
      <c r="L48" s="40">
        <v>451.6</v>
      </c>
      <c r="M48" s="41"/>
      <c r="N48" s="41"/>
      <c r="O48" s="41"/>
      <c r="P48" s="41"/>
      <c r="Q48" s="41"/>
      <c r="R48" s="41"/>
      <c r="S48" s="41"/>
      <c r="T48" s="42"/>
      <c r="U48" s="43"/>
      <c r="V48" s="43"/>
      <c r="W48" s="43"/>
      <c r="X48" s="43"/>
      <c r="Y48" s="43"/>
      <c r="Z48" s="43"/>
      <c r="AA48" s="43"/>
      <c r="AB48" s="60"/>
      <c r="AC48" s="60"/>
      <c r="AD48" s="60"/>
      <c r="AE48" s="60"/>
      <c r="AF48" s="60"/>
    </row>
    <row r="49" spans="1:32" s="106" customFormat="1" ht="14.25" customHeight="1">
      <c r="A49" s="112" t="s">
        <v>1</v>
      </c>
      <c r="B49" s="113">
        <f>B23+B34+B35+B38+B45+B46</f>
        <v>232367.1</v>
      </c>
      <c r="C49" s="113">
        <f>C23+C34+C35+C38+C45+C46</f>
        <v>223199.60000000003</v>
      </c>
      <c r="D49" s="113">
        <f>D23+D34+D35+D38+D45+D46</f>
        <v>264864.80000000005</v>
      </c>
      <c r="E49" s="113">
        <f>E23+E34+E35+E38+E45+E46</f>
        <v>178998</v>
      </c>
      <c r="F49" s="113">
        <f>F23+F34+F35+F38+F45+F46</f>
        <v>8393.3</v>
      </c>
      <c r="G49" s="114">
        <f>SUM(E49:F49)</f>
        <v>187391.3</v>
      </c>
      <c r="H49" s="115">
        <f>H23+H34+H35+H38+H45+H46</f>
        <v>247539.1</v>
      </c>
      <c r="I49" s="114">
        <f t="shared" si="0"/>
        <v>60147.80000000002</v>
      </c>
      <c r="J49" s="115">
        <f>J23+J34+J35+J38+J45+J46</f>
        <v>207182.3</v>
      </c>
      <c r="K49" s="116">
        <f t="shared" si="2"/>
        <v>19791</v>
      </c>
      <c r="L49" s="117">
        <f>L23+L34+L35+L38+L45+L46</f>
        <v>206279.8</v>
      </c>
      <c r="M49" s="118"/>
      <c r="N49" s="45"/>
      <c r="O49" s="45"/>
      <c r="P49" s="118"/>
      <c r="Q49" s="118"/>
      <c r="R49" s="118"/>
      <c r="S49" s="45"/>
      <c r="T49" s="46"/>
      <c r="U49" s="47"/>
      <c r="V49" s="47"/>
      <c r="W49" s="47"/>
      <c r="X49" s="47"/>
      <c r="Y49" s="47"/>
      <c r="Z49" s="47"/>
      <c r="AA49" s="47"/>
      <c r="AB49" s="105"/>
      <c r="AC49" s="105"/>
      <c r="AD49" s="105"/>
      <c r="AE49" s="105"/>
      <c r="AF49" s="105"/>
    </row>
    <row r="50" spans="1:32" s="106" customFormat="1" ht="15" customHeight="1" hidden="1">
      <c r="A50" s="119"/>
      <c r="B50" s="120"/>
      <c r="C50" s="120"/>
      <c r="D50" s="120"/>
      <c r="E50" s="120"/>
      <c r="F50" s="120"/>
      <c r="G50" s="120"/>
      <c r="H50" s="121"/>
      <c r="I50" s="122"/>
      <c r="J50" s="121"/>
      <c r="K50" s="122"/>
      <c r="L50" s="123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105"/>
      <c r="AC50" s="105"/>
      <c r="AD50" s="105"/>
      <c r="AE50" s="105"/>
      <c r="AF50" s="105"/>
    </row>
    <row r="51" spans="1:32" s="106" customFormat="1" ht="1.5" customHeight="1" hidden="1">
      <c r="A51" s="119"/>
      <c r="B51" s="124"/>
      <c r="C51" s="124"/>
      <c r="D51" s="124"/>
      <c r="E51" s="124"/>
      <c r="F51" s="124"/>
      <c r="G51" s="124"/>
      <c r="H51" s="125"/>
      <c r="I51" s="126"/>
      <c r="J51" s="125"/>
      <c r="K51" s="126"/>
      <c r="L51" s="12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105"/>
      <c r="AC51" s="105"/>
      <c r="AD51" s="105"/>
      <c r="AE51" s="105"/>
      <c r="AF51" s="105"/>
    </row>
    <row r="52" spans="1:32" s="106" customFormat="1" ht="15" customHeight="1" hidden="1">
      <c r="A52" s="119"/>
      <c r="B52" s="124"/>
      <c r="C52" s="124"/>
      <c r="D52" s="124"/>
      <c r="E52" s="124"/>
      <c r="F52" s="124"/>
      <c r="G52" s="124"/>
      <c r="H52" s="125"/>
      <c r="I52" s="126"/>
      <c r="J52" s="125"/>
      <c r="K52" s="126"/>
      <c r="L52" s="12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105"/>
      <c r="AC52" s="105"/>
      <c r="AD52" s="105"/>
      <c r="AE52" s="105"/>
      <c r="AF52" s="105"/>
    </row>
    <row r="53" spans="1:32" s="106" customFormat="1" ht="14.25" customHeight="1">
      <c r="A53" s="128" t="s">
        <v>2</v>
      </c>
      <c r="B53" s="101">
        <f>SUM(B22+B49)</f>
        <v>1045502.8999999999</v>
      </c>
      <c r="C53" s="101">
        <f>SUM(C22+C49)</f>
        <v>923732.7000000002</v>
      </c>
      <c r="D53" s="101">
        <f>SUM(D22+D49)</f>
        <v>895931.0000000001</v>
      </c>
      <c r="E53" s="101">
        <f>SUM(E22+E49)</f>
        <v>803804.3999999999</v>
      </c>
      <c r="F53" s="101">
        <f>SUM(F22+F49)</f>
        <v>8393.3</v>
      </c>
      <c r="G53" s="101">
        <f>SUM(E53:F53)</f>
        <v>812197.7</v>
      </c>
      <c r="H53" s="102">
        <f>SUM(H22+H49)</f>
        <v>874450.3999999999</v>
      </c>
      <c r="I53" s="101">
        <f aca="true" t="shared" si="5" ref="I53:I77">H53-G53</f>
        <v>62252.69999999995</v>
      </c>
      <c r="J53" s="102">
        <f>SUM(J22+J49)</f>
        <v>846947.6000000001</v>
      </c>
      <c r="K53" s="103">
        <f>J53-G53</f>
        <v>34749.90000000014</v>
      </c>
      <c r="L53" s="104">
        <f>SUM(L22+L49)</f>
        <v>848525.3</v>
      </c>
      <c r="M53" s="45"/>
      <c r="N53" s="45"/>
      <c r="O53" s="45"/>
      <c r="P53" s="45"/>
      <c r="Q53" s="45"/>
      <c r="R53" s="45"/>
      <c r="S53" s="45"/>
      <c r="T53" s="46"/>
      <c r="U53" s="47"/>
      <c r="V53" s="47"/>
      <c r="W53" s="47"/>
      <c r="X53" s="47"/>
      <c r="Y53" s="47"/>
      <c r="Z53" s="47"/>
      <c r="AA53" s="47"/>
      <c r="AB53" s="105"/>
      <c r="AC53" s="105"/>
      <c r="AD53" s="105"/>
      <c r="AE53" s="105"/>
      <c r="AF53" s="105"/>
    </row>
    <row r="54" spans="1:32" s="20" customFormat="1" ht="14.25" customHeight="1">
      <c r="A54" s="9" t="s">
        <v>26</v>
      </c>
      <c r="B54" s="10">
        <f>B55+B56+B57+B59+B58</f>
        <v>709352</v>
      </c>
      <c r="C54" s="10">
        <f>C55+C56+C57+C59+C58</f>
        <v>414376.5</v>
      </c>
      <c r="D54" s="10">
        <f>D55+D56+D57+D59+D58</f>
        <v>625029.8999999999</v>
      </c>
      <c r="E54" s="10">
        <f>E55+E56+E57+E59+E58</f>
        <v>438952.3</v>
      </c>
      <c r="F54" s="10">
        <f>SUM(F55+F56+F59+F57+F58)</f>
        <v>0</v>
      </c>
      <c r="G54" s="10">
        <f aca="true" t="shared" si="6" ref="G54:G77">SUM(E54:F54)</f>
        <v>438952.3</v>
      </c>
      <c r="H54" s="11">
        <f>H55+H56+H57+H59+H58</f>
        <v>625029.8999999999</v>
      </c>
      <c r="I54" s="12">
        <f t="shared" si="5"/>
        <v>186077.59999999992</v>
      </c>
      <c r="J54" s="13">
        <f>J55+J56+J57+J59+J58</f>
        <v>361870.3</v>
      </c>
      <c r="K54" s="14">
        <f>J54-G54</f>
        <v>-77082</v>
      </c>
      <c r="L54" s="15">
        <f>L55+L56+L57+L59+L58</f>
        <v>361870.3</v>
      </c>
      <c r="M54" s="17"/>
      <c r="N54" s="17"/>
      <c r="O54" s="17"/>
      <c r="P54" s="17"/>
      <c r="Q54" s="17"/>
      <c r="R54" s="17"/>
      <c r="S54" s="17"/>
      <c r="T54" s="18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s="20" customFormat="1" ht="14.25" customHeight="1">
      <c r="A55" s="21" t="s">
        <v>8</v>
      </c>
      <c r="B55" s="22">
        <v>470234</v>
      </c>
      <c r="C55" s="22">
        <v>270352.2</v>
      </c>
      <c r="D55" s="22">
        <v>284263.1</v>
      </c>
      <c r="E55" s="22">
        <v>345849</v>
      </c>
      <c r="F55" s="22"/>
      <c r="G55" s="22">
        <f t="shared" si="6"/>
        <v>345849</v>
      </c>
      <c r="H55" s="23">
        <v>284263.1</v>
      </c>
      <c r="I55" s="24">
        <f t="shared" si="5"/>
        <v>-61585.90000000002</v>
      </c>
      <c r="J55" s="25">
        <v>284263.1</v>
      </c>
      <c r="K55" s="26"/>
      <c r="L55" s="27">
        <v>284263.1</v>
      </c>
      <c r="M55" s="17"/>
      <c r="N55" s="17"/>
      <c r="O55" s="17"/>
      <c r="P55" s="17"/>
      <c r="Q55" s="17"/>
      <c r="R55" s="17"/>
      <c r="S55" s="17"/>
      <c r="T55" s="18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s="20" customFormat="1" ht="14.25" customHeight="1">
      <c r="A56" s="21" t="s">
        <v>14</v>
      </c>
      <c r="B56" s="22">
        <v>55051.4</v>
      </c>
      <c r="C56" s="22">
        <v>45719</v>
      </c>
      <c r="D56" s="22">
        <v>48407.2</v>
      </c>
      <c r="E56" s="22">
        <v>58815.5</v>
      </c>
      <c r="F56" s="22"/>
      <c r="G56" s="22">
        <f t="shared" si="6"/>
        <v>58815.5</v>
      </c>
      <c r="H56" s="23">
        <v>48407.2</v>
      </c>
      <c r="I56" s="24">
        <f t="shared" si="5"/>
        <v>-10408.300000000003</v>
      </c>
      <c r="J56" s="25">
        <v>48407.2</v>
      </c>
      <c r="K56" s="26"/>
      <c r="L56" s="27">
        <v>48407.2</v>
      </c>
      <c r="M56" s="17"/>
      <c r="N56" s="17"/>
      <c r="O56" s="17"/>
      <c r="P56" s="17"/>
      <c r="Q56" s="17"/>
      <c r="R56" s="17"/>
      <c r="S56" s="17"/>
      <c r="T56" s="18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s="20" customFormat="1" ht="14.25" customHeight="1">
      <c r="A57" s="21" t="s">
        <v>12</v>
      </c>
      <c r="B57" s="22">
        <v>105775.5</v>
      </c>
      <c r="C57" s="22">
        <v>68747.4</v>
      </c>
      <c r="D57" s="22">
        <v>259398.4</v>
      </c>
      <c r="E57" s="22">
        <v>34287.8</v>
      </c>
      <c r="F57" s="22"/>
      <c r="G57" s="22">
        <f t="shared" si="6"/>
        <v>34287.8</v>
      </c>
      <c r="H57" s="23">
        <v>259398.4</v>
      </c>
      <c r="I57" s="24">
        <f t="shared" si="5"/>
        <v>225110.59999999998</v>
      </c>
      <c r="J57" s="25">
        <v>29200</v>
      </c>
      <c r="K57" s="26"/>
      <c r="L57" s="27">
        <v>29200</v>
      </c>
      <c r="M57" s="17"/>
      <c r="N57" s="17"/>
      <c r="O57" s="17"/>
      <c r="P57" s="17"/>
      <c r="Q57" s="17"/>
      <c r="R57" s="17"/>
      <c r="S57" s="17"/>
      <c r="T57" s="1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s="20" customFormat="1" ht="14.25" customHeight="1">
      <c r="A58" s="21" t="s">
        <v>21</v>
      </c>
      <c r="B58" s="22">
        <v>57454.6</v>
      </c>
      <c r="C58" s="22">
        <v>6992.4</v>
      </c>
      <c r="D58" s="22">
        <v>32961.2</v>
      </c>
      <c r="E58" s="22">
        <v>0</v>
      </c>
      <c r="F58" s="22"/>
      <c r="G58" s="22">
        <f>SUM(E58:F58)</f>
        <v>0</v>
      </c>
      <c r="H58" s="23">
        <v>32961.2</v>
      </c>
      <c r="I58" s="24">
        <f t="shared" si="5"/>
        <v>32961.2</v>
      </c>
      <c r="J58" s="25">
        <v>0</v>
      </c>
      <c r="K58" s="26"/>
      <c r="L58" s="27">
        <v>0</v>
      </c>
      <c r="M58" s="17"/>
      <c r="N58" s="17"/>
      <c r="O58" s="17"/>
      <c r="P58" s="17"/>
      <c r="Q58" s="17"/>
      <c r="R58" s="17"/>
      <c r="S58" s="17"/>
      <c r="T58" s="1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s="20" customFormat="1" ht="14.25" customHeight="1">
      <c r="A59" s="21" t="s">
        <v>15</v>
      </c>
      <c r="B59" s="22">
        <v>20836.5</v>
      </c>
      <c r="C59" s="22">
        <v>22565.5</v>
      </c>
      <c r="D59" s="22">
        <v>0</v>
      </c>
      <c r="E59" s="22">
        <v>0</v>
      </c>
      <c r="F59" s="22"/>
      <c r="G59" s="22">
        <f t="shared" si="6"/>
        <v>0</v>
      </c>
      <c r="H59" s="23">
        <v>0</v>
      </c>
      <c r="I59" s="12">
        <f t="shared" si="5"/>
        <v>0</v>
      </c>
      <c r="J59" s="25">
        <v>0</v>
      </c>
      <c r="K59" s="26"/>
      <c r="L59" s="27">
        <v>0</v>
      </c>
      <c r="M59" s="17"/>
      <c r="N59" s="17"/>
      <c r="O59" s="17"/>
      <c r="P59" s="17"/>
      <c r="Q59" s="17"/>
      <c r="R59" s="17"/>
      <c r="S59" s="17"/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s="20" customFormat="1" ht="14.25" customHeight="1">
      <c r="A60" s="9" t="s">
        <v>23</v>
      </c>
      <c r="B60" s="10">
        <f>B61+B64</f>
        <v>807948</v>
      </c>
      <c r="C60" s="10">
        <f>C61+C64</f>
        <v>681623.2</v>
      </c>
      <c r="D60" s="10">
        <f>D61+D64</f>
        <v>555984.7</v>
      </c>
      <c r="E60" s="10">
        <f>E61+E64</f>
        <v>209014.30000000002</v>
      </c>
      <c r="F60" s="10">
        <f>F61+F64</f>
        <v>46591.1</v>
      </c>
      <c r="G60" s="10">
        <f t="shared" si="6"/>
        <v>255605.40000000002</v>
      </c>
      <c r="H60" s="11">
        <f>H61+H64</f>
        <v>558006.4</v>
      </c>
      <c r="I60" s="12">
        <f t="shared" si="5"/>
        <v>302401</v>
      </c>
      <c r="J60" s="13">
        <f>J61+J64</f>
        <v>467236.80000000005</v>
      </c>
      <c r="K60" s="16"/>
      <c r="L60" s="15">
        <f>L61+L64</f>
        <v>467236.80000000005</v>
      </c>
      <c r="M60" s="28"/>
      <c r="N60" s="28"/>
      <c r="O60" s="28"/>
      <c r="P60" s="28"/>
      <c r="Q60" s="28"/>
      <c r="R60" s="28"/>
      <c r="S60" s="28"/>
      <c r="T60" s="2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s="20" customFormat="1" ht="14.25" customHeight="1">
      <c r="A61" s="9" t="s">
        <v>24</v>
      </c>
      <c r="B61" s="10">
        <f>B62+B63</f>
        <v>585419.7</v>
      </c>
      <c r="C61" s="10">
        <f>C62+C63</f>
        <v>227214.3</v>
      </c>
      <c r="D61" s="10">
        <f>D62+D63</f>
        <v>436334.2</v>
      </c>
      <c r="E61" s="10">
        <f>E62+E63</f>
        <v>183460.6</v>
      </c>
      <c r="F61" s="10">
        <f>F62+F63</f>
        <v>48890.6</v>
      </c>
      <c r="G61" s="10">
        <f>SUM(E61:F61)</f>
        <v>232351.2</v>
      </c>
      <c r="H61" s="11">
        <f>H62+H63</f>
        <v>436300</v>
      </c>
      <c r="I61" s="24">
        <f t="shared" si="5"/>
        <v>203948.8</v>
      </c>
      <c r="J61" s="13">
        <f>J62+J63</f>
        <v>367028.9</v>
      </c>
      <c r="K61" s="16"/>
      <c r="L61" s="15">
        <f>L62+L63</f>
        <v>367028.9</v>
      </c>
      <c r="M61" s="28"/>
      <c r="N61" s="28"/>
      <c r="O61" s="28"/>
      <c r="P61" s="28"/>
      <c r="Q61" s="28"/>
      <c r="R61" s="28"/>
      <c r="S61" s="28"/>
      <c r="T61" s="2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s="20" customFormat="1" ht="15">
      <c r="A62" s="30" t="s">
        <v>3</v>
      </c>
      <c r="B62" s="22">
        <v>579222.7</v>
      </c>
      <c r="C62" s="22">
        <v>227214.3</v>
      </c>
      <c r="D62" s="22">
        <v>435511.7</v>
      </c>
      <c r="E62" s="22">
        <v>183460.6</v>
      </c>
      <c r="F62" s="22">
        <f>9838.8+5051.8+34000</f>
        <v>48890.6</v>
      </c>
      <c r="G62" s="22">
        <f t="shared" si="6"/>
        <v>232351.2</v>
      </c>
      <c r="H62" s="23">
        <v>435477.5</v>
      </c>
      <c r="I62" s="24">
        <f t="shared" si="5"/>
        <v>203126.3</v>
      </c>
      <c r="J62" s="25">
        <v>367028.9</v>
      </c>
      <c r="K62" s="26"/>
      <c r="L62" s="27">
        <v>367028.9</v>
      </c>
      <c r="M62" s="17"/>
      <c r="N62" s="17"/>
      <c r="O62" s="17"/>
      <c r="P62" s="17"/>
      <c r="Q62" s="17"/>
      <c r="R62" s="17"/>
      <c r="S62" s="17"/>
      <c r="T62" s="18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s="20" customFormat="1" ht="15">
      <c r="A63" s="30" t="s">
        <v>4</v>
      </c>
      <c r="B63" s="22">
        <v>6197</v>
      </c>
      <c r="C63" s="22">
        <v>0</v>
      </c>
      <c r="D63" s="22">
        <v>822.5</v>
      </c>
      <c r="E63" s="22">
        <v>0</v>
      </c>
      <c r="F63" s="22"/>
      <c r="G63" s="22">
        <f t="shared" si="6"/>
        <v>0</v>
      </c>
      <c r="H63" s="23">
        <v>822.5</v>
      </c>
      <c r="I63" s="24">
        <f t="shared" si="5"/>
        <v>822.5</v>
      </c>
      <c r="J63" s="25">
        <v>0</v>
      </c>
      <c r="K63" s="26"/>
      <c r="L63" s="27">
        <v>0</v>
      </c>
      <c r="M63" s="17"/>
      <c r="N63" s="17"/>
      <c r="O63" s="17"/>
      <c r="P63" s="17"/>
      <c r="Q63" s="17"/>
      <c r="R63" s="17"/>
      <c r="S63" s="17"/>
      <c r="T63" s="1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s="20" customFormat="1" ht="14.25" customHeight="1">
      <c r="A64" s="9" t="s">
        <v>25</v>
      </c>
      <c r="B64" s="10">
        <f>B65+B66</f>
        <v>222528.3</v>
      </c>
      <c r="C64" s="10">
        <f>C65+C66</f>
        <v>454408.9</v>
      </c>
      <c r="D64" s="10">
        <f>D65+D66</f>
        <v>119650.5</v>
      </c>
      <c r="E64" s="10">
        <f>E65+E66</f>
        <v>25553.7</v>
      </c>
      <c r="F64" s="10">
        <f>F65+F66</f>
        <v>-2299.5</v>
      </c>
      <c r="G64" s="10">
        <f t="shared" si="6"/>
        <v>23254.2</v>
      </c>
      <c r="H64" s="11">
        <f>H65+H66</f>
        <v>121706.4</v>
      </c>
      <c r="I64" s="12">
        <f t="shared" si="5"/>
        <v>98452.2</v>
      </c>
      <c r="J64" s="13">
        <f>J65+J66</f>
        <v>100207.9</v>
      </c>
      <c r="K64" s="16"/>
      <c r="L64" s="15">
        <f>L65+L66</f>
        <v>100207.9</v>
      </c>
      <c r="M64" s="17"/>
      <c r="N64" s="17"/>
      <c r="O64" s="17"/>
      <c r="P64" s="17"/>
      <c r="Q64" s="17"/>
      <c r="R64" s="17"/>
      <c r="S64" s="17"/>
      <c r="T64" s="1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s="20" customFormat="1" ht="15">
      <c r="A65" s="30" t="s">
        <v>3</v>
      </c>
      <c r="B65" s="22">
        <v>222528.3</v>
      </c>
      <c r="C65" s="22">
        <v>450439</v>
      </c>
      <c r="D65" s="22">
        <v>119650.5</v>
      </c>
      <c r="E65" s="22">
        <v>25553.7</v>
      </c>
      <c r="F65" s="22">
        <f>2239.3-4538.8</f>
        <v>-2299.5</v>
      </c>
      <c r="G65" s="22">
        <f t="shared" si="6"/>
        <v>23254.2</v>
      </c>
      <c r="H65" s="23">
        <v>121706.4</v>
      </c>
      <c r="I65" s="24">
        <f t="shared" si="5"/>
        <v>98452.2</v>
      </c>
      <c r="J65" s="25">
        <v>100207.9</v>
      </c>
      <c r="K65" s="26"/>
      <c r="L65" s="27">
        <v>100207.9</v>
      </c>
      <c r="M65" s="17"/>
      <c r="N65" s="17"/>
      <c r="O65" s="17"/>
      <c r="P65" s="17"/>
      <c r="Q65" s="17"/>
      <c r="R65" s="17"/>
      <c r="S65" s="17"/>
      <c r="T65" s="18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s="20" customFormat="1" ht="15">
      <c r="A66" s="30" t="s">
        <v>4</v>
      </c>
      <c r="B66" s="22"/>
      <c r="C66" s="22">
        <v>3969.9</v>
      </c>
      <c r="D66" s="22">
        <v>0</v>
      </c>
      <c r="E66" s="22">
        <v>0</v>
      </c>
      <c r="F66" s="22"/>
      <c r="G66" s="22">
        <f t="shared" si="6"/>
        <v>0</v>
      </c>
      <c r="H66" s="23">
        <v>0</v>
      </c>
      <c r="I66" s="24">
        <f t="shared" si="5"/>
        <v>0</v>
      </c>
      <c r="J66" s="25">
        <v>0</v>
      </c>
      <c r="K66" s="26"/>
      <c r="L66" s="27">
        <v>0</v>
      </c>
      <c r="M66" s="17"/>
      <c r="N66" s="17"/>
      <c r="O66" s="17"/>
      <c r="P66" s="17"/>
      <c r="Q66" s="17"/>
      <c r="R66" s="17"/>
      <c r="S66" s="17"/>
      <c r="T66" s="18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s="20" customFormat="1" ht="14.25" customHeight="1">
      <c r="A67" s="9" t="s">
        <v>6</v>
      </c>
      <c r="B67" s="10">
        <f>B68+B69</f>
        <v>890594</v>
      </c>
      <c r="C67" s="10">
        <f>C68+C69</f>
        <v>1067758.0999999999</v>
      </c>
      <c r="D67" s="10">
        <f>D68+D69</f>
        <v>1180593.6</v>
      </c>
      <c r="E67" s="10">
        <f>E68+E69</f>
        <v>1142895.2</v>
      </c>
      <c r="F67" s="10">
        <f>SUM(F68:F69)</f>
        <v>21191.9</v>
      </c>
      <c r="G67" s="10">
        <f t="shared" si="6"/>
        <v>1164087.0999999999</v>
      </c>
      <c r="H67" s="11">
        <f>H68+H69</f>
        <v>1182767.8</v>
      </c>
      <c r="I67" s="12">
        <f t="shared" si="5"/>
        <v>18680.700000000186</v>
      </c>
      <c r="J67" s="13">
        <f>J68+J69</f>
        <v>1299560.0999999999</v>
      </c>
      <c r="K67" s="16"/>
      <c r="L67" s="15">
        <f>L68+L69</f>
        <v>1299560.0999999999</v>
      </c>
      <c r="M67" s="28"/>
      <c r="N67" s="28"/>
      <c r="O67" s="28"/>
      <c r="P67" s="28"/>
      <c r="Q67" s="28"/>
      <c r="R67" s="28"/>
      <c r="S67" s="28"/>
      <c r="T67" s="2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s="20" customFormat="1" ht="15">
      <c r="A68" s="30" t="s">
        <v>3</v>
      </c>
      <c r="B68" s="22">
        <v>872812.9</v>
      </c>
      <c r="C68" s="22">
        <v>1056497.7</v>
      </c>
      <c r="D68" s="22">
        <v>1172985.1</v>
      </c>
      <c r="E68" s="22">
        <v>1137459.9</v>
      </c>
      <c r="F68" s="22">
        <v>20931.5</v>
      </c>
      <c r="G68" s="22">
        <f t="shared" si="6"/>
        <v>1158391.4</v>
      </c>
      <c r="H68" s="23">
        <v>1175159.3</v>
      </c>
      <c r="I68" s="24">
        <f t="shared" si="5"/>
        <v>16767.90000000014</v>
      </c>
      <c r="J68" s="25">
        <v>1292585.2</v>
      </c>
      <c r="K68" s="26"/>
      <c r="L68" s="27">
        <v>1292585.2</v>
      </c>
      <c r="M68" s="17"/>
      <c r="N68" s="17"/>
      <c r="O68" s="17"/>
      <c r="P68" s="17"/>
      <c r="Q68" s="17"/>
      <c r="R68" s="17"/>
      <c r="S68" s="17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s="20" customFormat="1" ht="15">
      <c r="A69" s="30" t="s">
        <v>4</v>
      </c>
      <c r="B69" s="22">
        <v>17781.1</v>
      </c>
      <c r="C69" s="22">
        <v>11260.4</v>
      </c>
      <c r="D69" s="22">
        <v>7608.5</v>
      </c>
      <c r="E69" s="22">
        <v>5435.3</v>
      </c>
      <c r="F69" s="22">
        <v>260.4</v>
      </c>
      <c r="G69" s="22">
        <f t="shared" si="6"/>
        <v>5695.7</v>
      </c>
      <c r="H69" s="23">
        <v>7608.5</v>
      </c>
      <c r="I69" s="24">
        <f t="shared" si="5"/>
        <v>1912.8000000000002</v>
      </c>
      <c r="J69" s="25">
        <v>6974.9</v>
      </c>
      <c r="K69" s="26"/>
      <c r="L69" s="27">
        <v>6974.9</v>
      </c>
      <c r="M69" s="17"/>
      <c r="N69" s="17"/>
      <c r="O69" s="17"/>
      <c r="P69" s="17"/>
      <c r="Q69" s="17"/>
      <c r="R69" s="17"/>
      <c r="S69" s="17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s="20" customFormat="1" ht="14.25" customHeight="1">
      <c r="A70" s="9" t="s">
        <v>7</v>
      </c>
      <c r="B70" s="10">
        <f>B71+B72</f>
        <v>32649.9</v>
      </c>
      <c r="C70" s="10">
        <f>C71+C72</f>
        <v>19839.3</v>
      </c>
      <c r="D70" s="10">
        <f>D71+D72</f>
        <v>11348.4</v>
      </c>
      <c r="E70" s="10">
        <f>E71+E72</f>
        <v>3995.7000000000003</v>
      </c>
      <c r="F70" s="10">
        <f>SUM(F71:F72)</f>
        <v>3839.2</v>
      </c>
      <c r="G70" s="10">
        <f t="shared" si="6"/>
        <v>7834.9</v>
      </c>
      <c r="H70" s="11">
        <f>H71+H72</f>
        <v>11348.699999999999</v>
      </c>
      <c r="I70" s="12">
        <f t="shared" si="5"/>
        <v>3513.7999999999993</v>
      </c>
      <c r="J70" s="13">
        <f>J71+J72</f>
        <v>7900.599999999999</v>
      </c>
      <c r="K70" s="16"/>
      <c r="L70" s="15">
        <f>L71+L72</f>
        <v>7900.599999999999</v>
      </c>
      <c r="M70" s="28"/>
      <c r="N70" s="28"/>
      <c r="O70" s="28"/>
      <c r="P70" s="28"/>
      <c r="Q70" s="28"/>
      <c r="R70" s="28"/>
      <c r="S70" s="28"/>
      <c r="T70" s="2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s="20" customFormat="1" ht="15">
      <c r="A71" s="30" t="s">
        <v>3</v>
      </c>
      <c r="B71" s="22">
        <v>32560.4</v>
      </c>
      <c r="C71" s="22">
        <v>19839.3</v>
      </c>
      <c r="D71" s="22">
        <v>11338.5</v>
      </c>
      <c r="E71" s="22">
        <v>3983.8</v>
      </c>
      <c r="F71" s="22">
        <f>1150+50+2639.2</f>
        <v>3839.2</v>
      </c>
      <c r="G71" s="22">
        <f t="shared" si="6"/>
        <v>7823</v>
      </c>
      <c r="H71" s="23">
        <v>11338.8</v>
      </c>
      <c r="I71" s="24">
        <f t="shared" si="5"/>
        <v>3515.7999999999993</v>
      </c>
      <c r="J71" s="25">
        <v>7890.7</v>
      </c>
      <c r="K71" s="26"/>
      <c r="L71" s="27">
        <v>7890.7</v>
      </c>
      <c r="M71" s="17"/>
      <c r="N71" s="17"/>
      <c r="O71" s="17"/>
      <c r="P71" s="17"/>
      <c r="Q71" s="17"/>
      <c r="R71" s="17"/>
      <c r="S71" s="17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32" s="20" customFormat="1" ht="15">
      <c r="A72" s="30" t="s">
        <v>4</v>
      </c>
      <c r="B72" s="22">
        <v>89.5</v>
      </c>
      <c r="C72" s="22"/>
      <c r="D72" s="22">
        <v>9.9</v>
      </c>
      <c r="E72" s="22">
        <v>11.9</v>
      </c>
      <c r="F72" s="22"/>
      <c r="G72" s="22">
        <f t="shared" si="6"/>
        <v>11.9</v>
      </c>
      <c r="H72" s="23">
        <v>9.9</v>
      </c>
      <c r="I72" s="24">
        <f t="shared" si="5"/>
        <v>-2</v>
      </c>
      <c r="J72" s="25">
        <v>9.9</v>
      </c>
      <c r="K72" s="26"/>
      <c r="L72" s="27">
        <v>9.9</v>
      </c>
      <c r="M72" s="17"/>
      <c r="N72" s="17"/>
      <c r="O72" s="17"/>
      <c r="P72" s="17"/>
      <c r="Q72" s="17"/>
      <c r="R72" s="17"/>
      <c r="S72" s="17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</row>
    <row r="73" spans="1:32" s="20" customFormat="1" ht="14.25" customHeight="1">
      <c r="A73" s="129" t="s">
        <v>27</v>
      </c>
      <c r="B73" s="130">
        <f>SUM(B54+B60+B67+B70)</f>
        <v>2440543.9</v>
      </c>
      <c r="C73" s="130">
        <f>SUM(C54+C60+C67+C70)</f>
        <v>2183597.0999999996</v>
      </c>
      <c r="D73" s="130">
        <f>SUM(D54+D60+D67+D70)</f>
        <v>2372956.6</v>
      </c>
      <c r="E73" s="130">
        <f>SUM(E54+E60+E67+E70)</f>
        <v>1794857.4999999998</v>
      </c>
      <c r="F73" s="130">
        <f>SUM(F54+F60+F67+F70)</f>
        <v>71622.2</v>
      </c>
      <c r="G73" s="130">
        <f t="shared" si="6"/>
        <v>1866479.6999999997</v>
      </c>
      <c r="H73" s="31">
        <f>SUM(H54+H60+H67+H70)</f>
        <v>2377152.8</v>
      </c>
      <c r="I73" s="32">
        <f t="shared" si="5"/>
        <v>510673.1000000001</v>
      </c>
      <c r="J73" s="31">
        <f>SUM(J54+J60+J67+J70)</f>
        <v>2136567.8000000003</v>
      </c>
      <c r="K73" s="33"/>
      <c r="L73" s="34">
        <f>SUM(L54+L60+L67+L70)</f>
        <v>2136567.8000000003</v>
      </c>
      <c r="M73" s="28"/>
      <c r="N73" s="28"/>
      <c r="O73" s="28"/>
      <c r="P73" s="28"/>
      <c r="Q73" s="28"/>
      <c r="R73" s="28"/>
      <c r="S73" s="28"/>
      <c r="T73" s="2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</row>
    <row r="74" spans="1:32" s="20" customFormat="1" ht="48" customHeight="1">
      <c r="A74" s="35" t="s">
        <v>74</v>
      </c>
      <c r="B74" s="131">
        <v>117086.8</v>
      </c>
      <c r="C74" s="131">
        <v>136980</v>
      </c>
      <c r="D74" s="131">
        <v>59492.4</v>
      </c>
      <c r="E74" s="131">
        <v>0</v>
      </c>
      <c r="F74" s="131">
        <f>151600+86.3</f>
        <v>151686.3</v>
      </c>
      <c r="G74" s="131">
        <f t="shared" si="6"/>
        <v>151686.3</v>
      </c>
      <c r="H74" s="23">
        <v>59492.4</v>
      </c>
      <c r="I74" s="12">
        <f t="shared" si="5"/>
        <v>-92193.9</v>
      </c>
      <c r="J74" s="25">
        <v>57492.4</v>
      </c>
      <c r="K74" s="26"/>
      <c r="L74" s="27">
        <v>57492.4</v>
      </c>
      <c r="M74" s="17"/>
      <c r="N74" s="17"/>
      <c r="O74" s="17"/>
      <c r="P74" s="17"/>
      <c r="Q74" s="17"/>
      <c r="R74" s="17"/>
      <c r="S74" s="17"/>
      <c r="T74" s="18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</row>
    <row r="75" spans="1:32" s="44" customFormat="1" ht="15.75" customHeight="1">
      <c r="A75" s="107" t="s">
        <v>11</v>
      </c>
      <c r="B75" s="36">
        <v>-13372.2</v>
      </c>
      <c r="C75" s="36">
        <v>-13074.2</v>
      </c>
      <c r="D75" s="36">
        <v>-9864</v>
      </c>
      <c r="E75" s="36">
        <v>0</v>
      </c>
      <c r="F75" s="36"/>
      <c r="G75" s="36">
        <f t="shared" si="6"/>
        <v>0</v>
      </c>
      <c r="H75" s="37">
        <v>-9758.4</v>
      </c>
      <c r="I75" s="12">
        <f t="shared" si="5"/>
        <v>-9758.4</v>
      </c>
      <c r="J75" s="38">
        <v>-9677</v>
      </c>
      <c r="K75" s="39"/>
      <c r="L75" s="40">
        <v>-9677</v>
      </c>
      <c r="M75" s="41"/>
      <c r="N75" s="41"/>
      <c r="O75" s="41"/>
      <c r="P75" s="41"/>
      <c r="Q75" s="41"/>
      <c r="R75" s="41"/>
      <c r="S75" s="41"/>
      <c r="T75" s="42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</row>
    <row r="76" spans="1:32" s="44" customFormat="1" ht="22.5" customHeight="1" thickBot="1">
      <c r="A76" s="109" t="s">
        <v>28</v>
      </c>
      <c r="B76" s="77">
        <f>SUM(B73+B74+B75)</f>
        <v>2544258.4999999995</v>
      </c>
      <c r="C76" s="77">
        <f>SUM(C73+C74+C75)</f>
        <v>2307502.8999999994</v>
      </c>
      <c r="D76" s="77">
        <f>SUM(D73+D74+D75)</f>
        <v>2422585</v>
      </c>
      <c r="E76" s="77">
        <f>SUM(E73+E74+E75)</f>
        <v>1794857.4999999998</v>
      </c>
      <c r="F76" s="77">
        <f>SUM(F73+F74+F75)</f>
        <v>223308.5</v>
      </c>
      <c r="G76" s="77">
        <f>SUM(E76:F76)</f>
        <v>2018165.9999999998</v>
      </c>
      <c r="H76" s="57">
        <f>SUM(H73+H74+H75)</f>
        <v>2426886.8</v>
      </c>
      <c r="I76" s="12">
        <f t="shared" si="5"/>
        <v>408720.80000000005</v>
      </c>
      <c r="J76" s="58">
        <f>SUM(J73+J74+J75)</f>
        <v>2184383.2</v>
      </c>
      <c r="K76" s="14"/>
      <c r="L76" s="59">
        <f>SUM(L73+L74+L75)</f>
        <v>2184383.2</v>
      </c>
      <c r="M76" s="78"/>
      <c r="N76" s="78"/>
      <c r="O76" s="78"/>
      <c r="P76" s="78"/>
      <c r="Q76" s="78"/>
      <c r="R76" s="78"/>
      <c r="S76" s="78"/>
      <c r="T76" s="79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2" s="139" customFormat="1" ht="16.5" customHeight="1" thickBot="1">
      <c r="A77" s="132" t="s">
        <v>45</v>
      </c>
      <c r="B77" s="133">
        <f>B53+B76</f>
        <v>3589761.3999999994</v>
      </c>
      <c r="C77" s="133">
        <f>C53+C76</f>
        <v>3231235.5999999996</v>
      </c>
      <c r="D77" s="133">
        <f>D53+D76</f>
        <v>3318516</v>
      </c>
      <c r="E77" s="133">
        <f>E53+E76</f>
        <v>2598661.8999999994</v>
      </c>
      <c r="F77" s="133">
        <f>F53+F76</f>
        <v>231701.8</v>
      </c>
      <c r="G77" s="133">
        <f t="shared" si="6"/>
        <v>2830363.6999999993</v>
      </c>
      <c r="H77" s="134">
        <f>H53+H76</f>
        <v>3301337.1999999997</v>
      </c>
      <c r="I77" s="135">
        <f t="shared" si="5"/>
        <v>470973.50000000047</v>
      </c>
      <c r="J77" s="136">
        <f>J53+J76</f>
        <v>3031330.8000000003</v>
      </c>
      <c r="K77" s="137">
        <f>J77-G77</f>
        <v>200967.10000000102</v>
      </c>
      <c r="L77" s="138">
        <f>L53+L76</f>
        <v>3032908.5</v>
      </c>
      <c r="M77" s="28"/>
      <c r="N77" s="28"/>
      <c r="O77" s="28"/>
      <c r="P77" s="28"/>
      <c r="Q77" s="28"/>
      <c r="R77" s="28"/>
      <c r="S77" s="28"/>
      <c r="T77" s="29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</sheetData>
  <sheetProtection/>
  <mergeCells count="1">
    <mergeCell ref="A1:L1"/>
  </mergeCells>
  <printOptions/>
  <pageMargins left="0.4330708661417323" right="0.15748031496062992" top="0.2362204724409449" bottom="0.15748031496062992" header="0.31496062992125984" footer="0.1574803149606299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2016-06-14T04:16:31Z</cp:lastPrinted>
  <dcterms:created xsi:type="dcterms:W3CDTF">1996-10-08T23:32:33Z</dcterms:created>
  <dcterms:modified xsi:type="dcterms:W3CDTF">2016-06-16T10:24:56Z</dcterms:modified>
  <cp:category/>
  <cp:version/>
  <cp:contentType/>
  <cp:contentStatus/>
</cp:coreProperties>
</file>