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7.2017" sheetId="31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01.07.2017'!$5:$6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U98" i="31"/>
  <c r="T98"/>
  <c r="Z98"/>
  <c r="AB98" s="1"/>
  <c r="Q98"/>
  <c r="N98"/>
  <c r="K58"/>
  <c r="AB66"/>
  <c r="Y66"/>
  <c r="AR63"/>
  <c r="AO63"/>
  <c r="AL63"/>
  <c r="Z63"/>
  <c r="AB63"/>
  <c r="AB62"/>
  <c r="V71"/>
  <c r="W71"/>
  <c r="T70"/>
  <c r="Z70"/>
  <c r="AB70" s="1"/>
  <c r="AR20"/>
  <c r="Z20"/>
  <c r="AR18"/>
  <c r="Z18"/>
  <c r="AB18" s="1"/>
  <c r="AB78"/>
  <c r="Z15"/>
  <c r="AB15" s="1"/>
  <c r="T15"/>
  <c r="W15"/>
  <c r="N15"/>
  <c r="K15"/>
  <c r="Q15"/>
  <c r="AR15"/>
  <c r="AI15"/>
  <c r="T51"/>
  <c r="Z51"/>
  <c r="AB51" s="1"/>
  <c r="Q51"/>
  <c r="K51"/>
  <c r="N51"/>
  <c r="AR51"/>
  <c r="AI51"/>
  <c r="Z22"/>
  <c r="AB22" s="1"/>
  <c r="T22"/>
  <c r="N22"/>
  <c r="Q22"/>
  <c r="K22"/>
  <c r="AB26"/>
  <c r="AB75"/>
  <c r="S75"/>
  <c r="W55"/>
  <c r="Z55"/>
  <c r="AB55" s="1"/>
  <c r="AB135"/>
  <c r="N127"/>
  <c r="AB20" l="1"/>
  <c r="AB113"/>
  <c r="AB104" s="1"/>
  <c r="S140"/>
  <c r="I136"/>
  <c r="H136"/>
  <c r="G136"/>
  <c r="F136"/>
  <c r="AR135"/>
  <c r="AR133" s="1"/>
  <c r="Y135"/>
  <c r="V135"/>
  <c r="S135"/>
  <c r="P135"/>
  <c r="I135"/>
  <c r="H135"/>
  <c r="G135"/>
  <c r="F135"/>
  <c r="I134"/>
  <c r="H134"/>
  <c r="G134"/>
  <c r="F134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X133"/>
  <c r="W133"/>
  <c r="U133"/>
  <c r="T133"/>
  <c r="R133"/>
  <c r="Q133"/>
  <c r="O133"/>
  <c r="N133"/>
  <c r="L133"/>
  <c r="K133"/>
  <c r="I133"/>
  <c r="I132"/>
  <c r="H132"/>
  <c r="G132"/>
  <c r="F132"/>
  <c r="I131"/>
  <c r="H131"/>
  <c r="G131"/>
  <c r="F131"/>
  <c r="I130"/>
  <c r="H130"/>
  <c r="H129" s="1"/>
  <c r="G130"/>
  <c r="F130"/>
  <c r="F129" s="1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U129"/>
  <c r="T129"/>
  <c r="R129"/>
  <c r="Q129"/>
  <c r="O129"/>
  <c r="N129"/>
  <c r="L129"/>
  <c r="K129"/>
  <c r="I129"/>
  <c r="I128"/>
  <c r="H128"/>
  <c r="G128"/>
  <c r="F128"/>
  <c r="Y127"/>
  <c r="V127"/>
  <c r="S127"/>
  <c r="P127"/>
  <c r="I127"/>
  <c r="H127"/>
  <c r="G127"/>
  <c r="F127"/>
  <c r="I126"/>
  <c r="H126"/>
  <c r="G126"/>
  <c r="F126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X125"/>
  <c r="W125"/>
  <c r="U125"/>
  <c r="T125"/>
  <c r="R125"/>
  <c r="Q125"/>
  <c r="O125"/>
  <c r="N125"/>
  <c r="L125"/>
  <c r="K125"/>
  <c r="H125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U120"/>
  <c r="T120"/>
  <c r="R120"/>
  <c r="Q120"/>
  <c r="P120"/>
  <c r="O120"/>
  <c r="N120"/>
  <c r="L120"/>
  <c r="K120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X119"/>
  <c r="W119"/>
  <c r="U119"/>
  <c r="T119"/>
  <c r="R119"/>
  <c r="Q119"/>
  <c r="O119"/>
  <c r="N119"/>
  <c r="L119"/>
  <c r="K119"/>
  <c r="AT118"/>
  <c r="AS118"/>
  <c r="AR118"/>
  <c r="AQ118"/>
  <c r="AP118"/>
  <c r="AO118"/>
  <c r="AN118"/>
  <c r="AM118"/>
  <c r="AL118"/>
  <c r="AK118"/>
  <c r="AJ118"/>
  <c r="AI118"/>
  <c r="AH118"/>
  <c r="AG118"/>
  <c r="AG117" s="1"/>
  <c r="AF118"/>
  <c r="AE118"/>
  <c r="AD118"/>
  <c r="AC118"/>
  <c r="AB118"/>
  <c r="AA118"/>
  <c r="Z118"/>
  <c r="Y118"/>
  <c r="X118"/>
  <c r="W118"/>
  <c r="W117" s="1"/>
  <c r="U118"/>
  <c r="T118"/>
  <c r="T117" s="1"/>
  <c r="R118"/>
  <c r="Q118"/>
  <c r="P118"/>
  <c r="O118"/>
  <c r="O117" s="1"/>
  <c r="N118"/>
  <c r="L118"/>
  <c r="K118"/>
  <c r="F118"/>
  <c r="AT117"/>
  <c r="AS117"/>
  <c r="Q117"/>
  <c r="I114"/>
  <c r="H114"/>
  <c r="G114"/>
  <c r="F114"/>
  <c r="F105" s="1"/>
  <c r="Y113"/>
  <c r="S113"/>
  <c r="I113"/>
  <c r="H113"/>
  <c r="G113"/>
  <c r="F113"/>
  <c r="F104" s="1"/>
  <c r="I112"/>
  <c r="H112"/>
  <c r="G112"/>
  <c r="F112"/>
  <c r="F103" s="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A111"/>
  <c r="Z111"/>
  <c r="X111"/>
  <c r="W111"/>
  <c r="V111"/>
  <c r="U111"/>
  <c r="T111"/>
  <c r="R111"/>
  <c r="Q111"/>
  <c r="O111"/>
  <c r="N111"/>
  <c r="L111"/>
  <c r="K111"/>
  <c r="I111"/>
  <c r="H111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O105"/>
  <c r="N105"/>
  <c r="M105"/>
  <c r="L105"/>
  <c r="K105"/>
  <c r="H105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A104"/>
  <c r="Z104"/>
  <c r="Y104"/>
  <c r="X104"/>
  <c r="W104"/>
  <c r="V104"/>
  <c r="U104"/>
  <c r="T104"/>
  <c r="R104"/>
  <c r="Q104"/>
  <c r="O104"/>
  <c r="N104"/>
  <c r="L104"/>
  <c r="K104"/>
  <c r="H104"/>
  <c r="AT103"/>
  <c r="AS103"/>
  <c r="AR103"/>
  <c r="AQ103"/>
  <c r="AP103"/>
  <c r="AO103"/>
  <c r="AN103"/>
  <c r="AM103"/>
  <c r="AL103"/>
  <c r="AK103"/>
  <c r="AJ103"/>
  <c r="AI103"/>
  <c r="AH103"/>
  <c r="AG103"/>
  <c r="AF103"/>
  <c r="AF102" s="1"/>
  <c r="AE103"/>
  <c r="AD103"/>
  <c r="AC103"/>
  <c r="AB103"/>
  <c r="AA103"/>
  <c r="Z103"/>
  <c r="Y103"/>
  <c r="X103"/>
  <c r="X102" s="1"/>
  <c r="W103"/>
  <c r="V103"/>
  <c r="U103"/>
  <c r="T103"/>
  <c r="R103"/>
  <c r="Q103"/>
  <c r="O103"/>
  <c r="N103"/>
  <c r="L103"/>
  <c r="K103"/>
  <c r="I103"/>
  <c r="H103"/>
  <c r="H102" s="1"/>
  <c r="AN102"/>
  <c r="I99"/>
  <c r="H99"/>
  <c r="H88" s="1"/>
  <c r="G99"/>
  <c r="F99"/>
  <c r="AR98"/>
  <c r="AR96" s="1"/>
  <c r="AF98"/>
  <c r="Y98"/>
  <c r="V98"/>
  <c r="S98"/>
  <c r="P98"/>
  <c r="M98"/>
  <c r="I98"/>
  <c r="H98"/>
  <c r="H87" s="1"/>
  <c r="G98"/>
  <c r="AF97"/>
  <c r="AF86" s="1"/>
  <c r="Z97"/>
  <c r="AB97" s="1"/>
  <c r="Y97"/>
  <c r="Y86" s="1"/>
  <c r="V97"/>
  <c r="Q97"/>
  <c r="S97" s="1"/>
  <c r="P97"/>
  <c r="M97"/>
  <c r="I97"/>
  <c r="H97"/>
  <c r="AQ96"/>
  <c r="AP96"/>
  <c r="AO96"/>
  <c r="AN96"/>
  <c r="AM96"/>
  <c r="AL96"/>
  <c r="AK96"/>
  <c r="AJ96"/>
  <c r="AI96"/>
  <c r="AH96"/>
  <c r="AG96"/>
  <c r="AE96"/>
  <c r="AD96"/>
  <c r="AC96"/>
  <c r="AA96"/>
  <c r="Z96"/>
  <c r="X96"/>
  <c r="W96"/>
  <c r="U96"/>
  <c r="T96"/>
  <c r="R96"/>
  <c r="O96"/>
  <c r="N96"/>
  <c r="L96"/>
  <c r="K96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U88"/>
  <c r="T88"/>
  <c r="S88"/>
  <c r="R88"/>
  <c r="Q88"/>
  <c r="O88"/>
  <c r="N88"/>
  <c r="L88"/>
  <c r="K88"/>
  <c r="F88"/>
  <c r="AT87"/>
  <c r="AS87"/>
  <c r="AR87"/>
  <c r="AQ87"/>
  <c r="AP87"/>
  <c r="AO87"/>
  <c r="AN87"/>
  <c r="AM87"/>
  <c r="AL87"/>
  <c r="AK87"/>
  <c r="AJ87"/>
  <c r="AI87"/>
  <c r="AH87"/>
  <c r="AG87"/>
  <c r="AE87"/>
  <c r="AD87"/>
  <c r="AC87"/>
  <c r="AB87"/>
  <c r="AA87"/>
  <c r="Z87"/>
  <c r="Y87"/>
  <c r="X87"/>
  <c r="W87"/>
  <c r="U87"/>
  <c r="T87"/>
  <c r="R87"/>
  <c r="Q87"/>
  <c r="O87"/>
  <c r="N87"/>
  <c r="L87"/>
  <c r="K87"/>
  <c r="AT86"/>
  <c r="AS86"/>
  <c r="AR86"/>
  <c r="AQ86"/>
  <c r="AP86"/>
  <c r="AO86"/>
  <c r="AN86"/>
  <c r="AM86"/>
  <c r="AL86"/>
  <c r="AK86"/>
  <c r="AJ86"/>
  <c r="AI86"/>
  <c r="AH86"/>
  <c r="AG86"/>
  <c r="AG85" s="1"/>
  <c r="AE86"/>
  <c r="AD86"/>
  <c r="AC86"/>
  <c r="AB86"/>
  <c r="AA86"/>
  <c r="Z86"/>
  <c r="X86"/>
  <c r="W86"/>
  <c r="U86"/>
  <c r="T86"/>
  <c r="R86"/>
  <c r="O86"/>
  <c r="N86"/>
  <c r="L86"/>
  <c r="K86"/>
  <c r="AO85"/>
  <c r="AA85"/>
  <c r="K85"/>
  <c r="I84"/>
  <c r="H84"/>
  <c r="G84"/>
  <c r="F84"/>
  <c r="I83"/>
  <c r="H83"/>
  <c r="G83"/>
  <c r="F83"/>
  <c r="I82"/>
  <c r="H82"/>
  <c r="H81" s="1"/>
  <c r="G82"/>
  <c r="F82"/>
  <c r="F81" s="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X81"/>
  <c r="W81"/>
  <c r="U81"/>
  <c r="T81"/>
  <c r="R81"/>
  <c r="Q81"/>
  <c r="O81"/>
  <c r="N81"/>
  <c r="L81"/>
  <c r="K81"/>
  <c r="G81" s="1"/>
  <c r="I81"/>
  <c r="I80"/>
  <c r="H80"/>
  <c r="G80"/>
  <c r="F80"/>
  <c r="I79"/>
  <c r="H79"/>
  <c r="G79"/>
  <c r="F79"/>
  <c r="Y78"/>
  <c r="V78"/>
  <c r="S78"/>
  <c r="P78"/>
  <c r="I78"/>
  <c r="H78"/>
  <c r="G78"/>
  <c r="F78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X77"/>
  <c r="W77"/>
  <c r="U77"/>
  <c r="T77"/>
  <c r="R77"/>
  <c r="Q77"/>
  <c r="O77"/>
  <c r="N77"/>
  <c r="L77"/>
  <c r="K77"/>
  <c r="I77"/>
  <c r="I76"/>
  <c r="H76"/>
  <c r="G76"/>
  <c r="F76"/>
  <c r="AI75"/>
  <c r="N75"/>
  <c r="P75" s="1"/>
  <c r="I75"/>
  <c r="H75"/>
  <c r="I74"/>
  <c r="H74"/>
  <c r="G74"/>
  <c r="F74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U73"/>
  <c r="T73"/>
  <c r="R73"/>
  <c r="Q73"/>
  <c r="O73"/>
  <c r="L73"/>
  <c r="K73"/>
  <c r="I73"/>
  <c r="I72"/>
  <c r="H72"/>
  <c r="G72"/>
  <c r="F72"/>
  <c r="Y71"/>
  <c r="Q71"/>
  <c r="S71" s="1"/>
  <c r="I71"/>
  <c r="H71"/>
  <c r="AR70"/>
  <c r="AR58" s="1"/>
  <c r="AO70"/>
  <c r="AO58" s="1"/>
  <c r="AL70"/>
  <c r="AL58" s="1"/>
  <c r="Z69"/>
  <c r="W70"/>
  <c r="Q70"/>
  <c r="P70"/>
  <c r="I70"/>
  <c r="H70"/>
  <c r="AQ69"/>
  <c r="AP69"/>
  <c r="AN69"/>
  <c r="AM69"/>
  <c r="AL69"/>
  <c r="AK69"/>
  <c r="AJ69"/>
  <c r="AI69"/>
  <c r="AH69"/>
  <c r="AG69"/>
  <c r="AF69"/>
  <c r="AE69"/>
  <c r="AD69"/>
  <c r="AC69"/>
  <c r="AB69"/>
  <c r="AA69"/>
  <c r="X69"/>
  <c r="U69"/>
  <c r="R69"/>
  <c r="O69"/>
  <c r="N69"/>
  <c r="L69"/>
  <c r="K69"/>
  <c r="I68"/>
  <c r="H68"/>
  <c r="G68"/>
  <c r="F68"/>
  <c r="I67"/>
  <c r="H67"/>
  <c r="G67"/>
  <c r="F67"/>
  <c r="I66"/>
  <c r="H66"/>
  <c r="H65" s="1"/>
  <c r="G66"/>
  <c r="F66"/>
  <c r="F65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U65"/>
  <c r="T65"/>
  <c r="R65"/>
  <c r="Q65"/>
  <c r="O65"/>
  <c r="N65"/>
  <c r="L65"/>
  <c r="I65" s="1"/>
  <c r="K65"/>
  <c r="J65"/>
  <c r="I64"/>
  <c r="H64"/>
  <c r="G64"/>
  <c r="F64"/>
  <c r="AF63"/>
  <c r="Y63"/>
  <c r="Y59" s="1"/>
  <c r="V63"/>
  <c r="Q63"/>
  <c r="S63" s="1"/>
  <c r="P63"/>
  <c r="M63"/>
  <c r="I63"/>
  <c r="H63"/>
  <c r="AF62"/>
  <c r="AF58" s="1"/>
  <c r="Y62"/>
  <c r="V62"/>
  <c r="S62"/>
  <c r="P62"/>
  <c r="I62"/>
  <c r="H62"/>
  <c r="G62"/>
  <c r="F62"/>
  <c r="AQ61"/>
  <c r="AP61"/>
  <c r="AO61"/>
  <c r="AN61"/>
  <c r="AM61"/>
  <c r="AL61"/>
  <c r="AK61"/>
  <c r="AJ61"/>
  <c r="AI61"/>
  <c r="AH61"/>
  <c r="AG61"/>
  <c r="AE61"/>
  <c r="AD61"/>
  <c r="AC61"/>
  <c r="AA61"/>
  <c r="Z61"/>
  <c r="X61"/>
  <c r="W61"/>
  <c r="U61"/>
  <c r="T61"/>
  <c r="R61"/>
  <c r="Q61"/>
  <c r="O61"/>
  <c r="N61"/>
  <c r="L61"/>
  <c r="K61"/>
  <c r="I61"/>
  <c r="AT60"/>
  <c r="AT12" s="1"/>
  <c r="AT140" s="1"/>
  <c r="AS60"/>
  <c r="AR60"/>
  <c r="AQ60"/>
  <c r="AQ12" s="1"/>
  <c r="AP60"/>
  <c r="AO60"/>
  <c r="AN60"/>
  <c r="AM60"/>
  <c r="AM12" s="1"/>
  <c r="AL60"/>
  <c r="AK60"/>
  <c r="AK12" s="1"/>
  <c r="AJ60"/>
  <c r="AI60"/>
  <c r="AH60"/>
  <c r="AH12" s="1"/>
  <c r="AG60"/>
  <c r="AG12" s="1"/>
  <c r="AF60"/>
  <c r="AE60"/>
  <c r="AE12" s="1"/>
  <c r="AD60"/>
  <c r="AD12" s="1"/>
  <c r="AC60"/>
  <c r="AB60"/>
  <c r="AA60"/>
  <c r="AA12" s="1"/>
  <c r="Z60"/>
  <c r="Y60"/>
  <c r="X60"/>
  <c r="X12" s="1"/>
  <c r="W60"/>
  <c r="U60"/>
  <c r="U12" s="1"/>
  <c r="U140" s="1"/>
  <c r="T60"/>
  <c r="T12" s="1"/>
  <c r="R60"/>
  <c r="R12" s="1"/>
  <c r="Q60"/>
  <c r="O60"/>
  <c r="N60"/>
  <c r="L60"/>
  <c r="L12" s="1"/>
  <c r="M12" s="1"/>
  <c r="K60"/>
  <c r="K12" s="1"/>
  <c r="J60"/>
  <c r="J56" s="1"/>
  <c r="AT59"/>
  <c r="AS59"/>
  <c r="AQ59"/>
  <c r="AP59"/>
  <c r="AO59"/>
  <c r="AN59"/>
  <c r="AN11" s="1"/>
  <c r="AM59"/>
  <c r="AL59"/>
  <c r="AK59"/>
  <c r="AJ59"/>
  <c r="AJ11" s="1"/>
  <c r="AJ139" s="1"/>
  <c r="AI59"/>
  <c r="AH59"/>
  <c r="AH11" s="1"/>
  <c r="AG59"/>
  <c r="AE59"/>
  <c r="AE11" s="1"/>
  <c r="AD59"/>
  <c r="AC59"/>
  <c r="AB59"/>
  <c r="AA59"/>
  <c r="AA11" s="1"/>
  <c r="Z59"/>
  <c r="X59"/>
  <c r="X11" s="1"/>
  <c r="W59"/>
  <c r="U59"/>
  <c r="T59"/>
  <c r="R59"/>
  <c r="I59" s="1"/>
  <c r="O59"/>
  <c r="N59"/>
  <c r="N11" s="1"/>
  <c r="L59"/>
  <c r="K59"/>
  <c r="AT58"/>
  <c r="AT10" s="1"/>
  <c r="AS58"/>
  <c r="AS10" s="1"/>
  <c r="AQ58"/>
  <c r="AP58"/>
  <c r="AP10" s="1"/>
  <c r="AN58"/>
  <c r="AN10" s="1"/>
  <c r="AM58"/>
  <c r="AK58"/>
  <c r="AK10" s="1"/>
  <c r="AJ58"/>
  <c r="AJ10" s="1"/>
  <c r="AI58"/>
  <c r="AH58"/>
  <c r="AG58"/>
  <c r="AE58"/>
  <c r="AE10" s="1"/>
  <c r="AD58"/>
  <c r="AD10" s="1"/>
  <c r="AC58"/>
  <c r="AB58"/>
  <c r="AB10" s="1"/>
  <c r="AA58"/>
  <c r="AA10" s="1"/>
  <c r="X58"/>
  <c r="U58"/>
  <c r="R58"/>
  <c r="O58"/>
  <c r="O10" s="1"/>
  <c r="N58"/>
  <c r="L58"/>
  <c r="I58" s="1"/>
  <c r="AD57"/>
  <c r="I56"/>
  <c r="H56"/>
  <c r="G56"/>
  <c r="F56"/>
  <c r="AR55"/>
  <c r="AR53" s="1"/>
  <c r="Y55"/>
  <c r="T55"/>
  <c r="V55" s="1"/>
  <c r="S55"/>
  <c r="P55"/>
  <c r="L55"/>
  <c r="M55" s="1"/>
  <c r="G55"/>
  <c r="I54"/>
  <c r="H54"/>
  <c r="G54"/>
  <c r="F54"/>
  <c r="AT53"/>
  <c r="AS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X53"/>
  <c r="U53"/>
  <c r="R53"/>
  <c r="Q53"/>
  <c r="O53"/>
  <c r="N53"/>
  <c r="K53"/>
  <c r="I52"/>
  <c r="H52"/>
  <c r="G52"/>
  <c r="F52"/>
  <c r="AI49"/>
  <c r="Y51"/>
  <c r="V51"/>
  <c r="S51"/>
  <c r="P51"/>
  <c r="M51"/>
  <c r="I51"/>
  <c r="H51"/>
  <c r="G51"/>
  <c r="I50"/>
  <c r="H50"/>
  <c r="G50"/>
  <c r="F50"/>
  <c r="AT49"/>
  <c r="AS49"/>
  <c r="AR49"/>
  <c r="AQ49"/>
  <c r="AP49"/>
  <c r="AO49"/>
  <c r="AN49"/>
  <c r="AM49"/>
  <c r="AL49"/>
  <c r="AK49"/>
  <c r="AJ49"/>
  <c r="AH49"/>
  <c r="AG49"/>
  <c r="AF49"/>
  <c r="AE49"/>
  <c r="AD49"/>
  <c r="AC49"/>
  <c r="AB49"/>
  <c r="AA49"/>
  <c r="Z49"/>
  <c r="X49"/>
  <c r="W49"/>
  <c r="U49"/>
  <c r="T49"/>
  <c r="R49"/>
  <c r="O49"/>
  <c r="N49"/>
  <c r="L49"/>
  <c r="K49"/>
  <c r="I48"/>
  <c r="H48"/>
  <c r="G48"/>
  <c r="F48"/>
  <c r="I47"/>
  <c r="H47"/>
  <c r="G47"/>
  <c r="F47"/>
  <c r="T46"/>
  <c r="G46" s="1"/>
  <c r="I46"/>
  <c r="H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U45"/>
  <c r="R45"/>
  <c r="Q45"/>
  <c r="O45"/>
  <c r="N45"/>
  <c r="M45"/>
  <c r="L45"/>
  <c r="K45"/>
  <c r="I44"/>
  <c r="H44"/>
  <c r="G44"/>
  <c r="F44"/>
  <c r="I43"/>
  <c r="H43"/>
  <c r="G43"/>
  <c r="F43"/>
  <c r="I42"/>
  <c r="H42"/>
  <c r="H41" s="1"/>
  <c r="G42"/>
  <c r="F42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X41"/>
  <c r="W41"/>
  <c r="U41"/>
  <c r="T41"/>
  <c r="R41"/>
  <c r="Q41"/>
  <c r="O41"/>
  <c r="N41"/>
  <c r="M41"/>
  <c r="L41"/>
  <c r="K41"/>
  <c r="F41"/>
  <c r="I40"/>
  <c r="H40"/>
  <c r="G40"/>
  <c r="F40"/>
  <c r="I39"/>
  <c r="H39"/>
  <c r="G39"/>
  <c r="F39"/>
  <c r="AO38"/>
  <c r="AO37" s="1"/>
  <c r="AL38"/>
  <c r="AL37" s="1"/>
  <c r="AF38"/>
  <c r="AC38"/>
  <c r="Y38"/>
  <c r="V38"/>
  <c r="Q38"/>
  <c r="S38" s="1"/>
  <c r="N38"/>
  <c r="P38" s="1"/>
  <c r="K38"/>
  <c r="M38" s="1"/>
  <c r="I38"/>
  <c r="H38"/>
  <c r="H37" s="1"/>
  <c r="AT37"/>
  <c r="AS37"/>
  <c r="AR37"/>
  <c r="AQ37"/>
  <c r="AP37"/>
  <c r="AN37"/>
  <c r="AM37"/>
  <c r="AK37"/>
  <c r="AJ37"/>
  <c r="AI37"/>
  <c r="AH37"/>
  <c r="AG37"/>
  <c r="AF37"/>
  <c r="AE37"/>
  <c r="AD37"/>
  <c r="AC37"/>
  <c r="AB37"/>
  <c r="AA37"/>
  <c r="Z37"/>
  <c r="X37"/>
  <c r="W37"/>
  <c r="U37"/>
  <c r="T37"/>
  <c r="R37"/>
  <c r="O37"/>
  <c r="L37"/>
  <c r="I37"/>
  <c r="I36"/>
  <c r="H36"/>
  <c r="G36"/>
  <c r="F36"/>
  <c r="I35"/>
  <c r="H35"/>
  <c r="G35"/>
  <c r="F35"/>
  <c r="I34"/>
  <c r="H34"/>
  <c r="G34"/>
  <c r="F34"/>
  <c r="F33" s="1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U33"/>
  <c r="T33"/>
  <c r="R33"/>
  <c r="Q33"/>
  <c r="O33"/>
  <c r="N33"/>
  <c r="M33"/>
  <c r="L33"/>
  <c r="K33"/>
  <c r="H33"/>
  <c r="I32"/>
  <c r="H32"/>
  <c r="G32"/>
  <c r="F32"/>
  <c r="I31"/>
  <c r="H31"/>
  <c r="G31"/>
  <c r="F31"/>
  <c r="I30"/>
  <c r="H30"/>
  <c r="H29" s="1"/>
  <c r="G30"/>
  <c r="F30"/>
  <c r="F29" s="1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U29"/>
  <c r="T29"/>
  <c r="R29"/>
  <c r="Q29"/>
  <c r="O29"/>
  <c r="N29"/>
  <c r="M29"/>
  <c r="L29"/>
  <c r="K29"/>
  <c r="G29" s="1"/>
  <c r="I28"/>
  <c r="H28"/>
  <c r="G28"/>
  <c r="F28"/>
  <c r="I27"/>
  <c r="H27"/>
  <c r="G27"/>
  <c r="F27"/>
  <c r="T26"/>
  <c r="G26" s="1"/>
  <c r="I26"/>
  <c r="H26"/>
  <c r="H25" s="1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U25"/>
  <c r="R25"/>
  <c r="Q25"/>
  <c r="O25"/>
  <c r="N25"/>
  <c r="M25"/>
  <c r="L25"/>
  <c r="K25"/>
  <c r="I24"/>
  <c r="H24"/>
  <c r="G24"/>
  <c r="F24"/>
  <c r="I23"/>
  <c r="H23"/>
  <c r="G23"/>
  <c r="F23"/>
  <c r="AR22"/>
  <c r="AL22"/>
  <c r="W22"/>
  <c r="Y22" s="1"/>
  <c r="V22"/>
  <c r="S22"/>
  <c r="P22"/>
  <c r="M22"/>
  <c r="I22"/>
  <c r="H22"/>
  <c r="AT21"/>
  <c r="AS21"/>
  <c r="AR21"/>
  <c r="AQ21"/>
  <c r="AP21"/>
  <c r="AO21"/>
  <c r="AN21"/>
  <c r="AM21"/>
  <c r="AK21"/>
  <c r="AJ21"/>
  <c r="AI21"/>
  <c r="AH21"/>
  <c r="AG21"/>
  <c r="AF21"/>
  <c r="AE21"/>
  <c r="AD21"/>
  <c r="AC21"/>
  <c r="AB21"/>
  <c r="AA21"/>
  <c r="Z21"/>
  <c r="X21"/>
  <c r="U21"/>
  <c r="T21"/>
  <c r="R21"/>
  <c r="O21"/>
  <c r="N21"/>
  <c r="L21"/>
  <c r="K21"/>
  <c r="AO20"/>
  <c r="AO12" s="1"/>
  <c r="AL20"/>
  <c r="AL12" s="1"/>
  <c r="AI20"/>
  <c r="AI12" s="1"/>
  <c r="AF20"/>
  <c r="AF12" s="1"/>
  <c r="AC20"/>
  <c r="AC12" s="1"/>
  <c r="W20"/>
  <c r="W12" s="1"/>
  <c r="W140" s="1"/>
  <c r="V20"/>
  <c r="Q20"/>
  <c r="N20"/>
  <c r="M20"/>
  <c r="I20"/>
  <c r="H20"/>
  <c r="I19"/>
  <c r="H19"/>
  <c r="G19"/>
  <c r="F19"/>
  <c r="AO18"/>
  <c r="AO17" s="1"/>
  <c r="AL18"/>
  <c r="AL17" s="1"/>
  <c r="AI18"/>
  <c r="AI17" s="1"/>
  <c r="AF18"/>
  <c r="AF17" s="1"/>
  <c r="AC18"/>
  <c r="X18"/>
  <c r="H18" s="1"/>
  <c r="W18"/>
  <c r="T18"/>
  <c r="V18" s="1"/>
  <c r="Q18"/>
  <c r="S18" s="1"/>
  <c r="N18"/>
  <c r="P18" s="1"/>
  <c r="M18"/>
  <c r="I18"/>
  <c r="AT17"/>
  <c r="AS17"/>
  <c r="AR17"/>
  <c r="AQ17"/>
  <c r="AP17"/>
  <c r="AN17"/>
  <c r="AM17"/>
  <c r="AK17"/>
  <c r="AJ17"/>
  <c r="AH17"/>
  <c r="AG17"/>
  <c r="AE17"/>
  <c r="AD17"/>
  <c r="AC17"/>
  <c r="AA17"/>
  <c r="Z17"/>
  <c r="U17"/>
  <c r="R17"/>
  <c r="O17"/>
  <c r="L17"/>
  <c r="K17"/>
  <c r="I16"/>
  <c r="H16"/>
  <c r="G16"/>
  <c r="F16"/>
  <c r="AO15"/>
  <c r="AO13" s="1"/>
  <c r="AL15"/>
  <c r="AF15"/>
  <c r="AC15"/>
  <c r="AC13" s="1"/>
  <c r="Y15"/>
  <c r="V15"/>
  <c r="S15"/>
  <c r="O15"/>
  <c r="P15" s="1"/>
  <c r="L15"/>
  <c r="G15"/>
  <c r="I14"/>
  <c r="H14"/>
  <c r="G14"/>
  <c r="F14"/>
  <c r="AT13"/>
  <c r="AS13"/>
  <c r="AR13"/>
  <c r="AQ13"/>
  <c r="AP13"/>
  <c r="AN13"/>
  <c r="AM13"/>
  <c r="AL13"/>
  <c r="AK13"/>
  <c r="AJ13"/>
  <c r="AI13"/>
  <c r="AH13"/>
  <c r="AG13"/>
  <c r="AF13"/>
  <c r="AE13"/>
  <c r="AD13"/>
  <c r="AB13"/>
  <c r="AA13"/>
  <c r="Z13"/>
  <c r="X13"/>
  <c r="U13"/>
  <c r="T13"/>
  <c r="R13"/>
  <c r="N13"/>
  <c r="L13"/>
  <c r="AS12"/>
  <c r="AK140"/>
  <c r="AA140"/>
  <c r="AQ11"/>
  <c r="AO11"/>
  <c r="AM11"/>
  <c r="AG11"/>
  <c r="AD11"/>
  <c r="AB11"/>
  <c r="Z11"/>
  <c r="T11"/>
  <c r="L11"/>
  <c r="AQ10"/>
  <c r="AM10"/>
  <c r="AM138" s="1"/>
  <c r="AG10"/>
  <c r="AG9" s="1"/>
  <c r="AC10"/>
  <c r="U10"/>
  <c r="L10"/>
  <c r="K10"/>
  <c r="F20" l="1"/>
  <c r="G22"/>
  <c r="H21"/>
  <c r="I25"/>
  <c r="G25"/>
  <c r="T25"/>
  <c r="I33"/>
  <c r="G33"/>
  <c r="K37"/>
  <c r="N37"/>
  <c r="Q37"/>
  <c r="S37" s="1"/>
  <c r="Y37"/>
  <c r="G38"/>
  <c r="F38"/>
  <c r="F37" s="1"/>
  <c r="I41"/>
  <c r="G41"/>
  <c r="Y49"/>
  <c r="H49"/>
  <c r="L102"/>
  <c r="K140"/>
  <c r="G103"/>
  <c r="AJ102"/>
  <c r="AR102"/>
  <c r="AG140"/>
  <c r="AQ140"/>
  <c r="AO117"/>
  <c r="AP57"/>
  <c r="AQ138"/>
  <c r="Z139"/>
  <c r="AD139"/>
  <c r="AP11"/>
  <c r="N57"/>
  <c r="X57"/>
  <c r="AB138"/>
  <c r="AD138"/>
  <c r="AH57"/>
  <c r="AJ138"/>
  <c r="AN138"/>
  <c r="H59"/>
  <c r="AR69"/>
  <c r="Q69"/>
  <c r="F71"/>
  <c r="N73"/>
  <c r="F75"/>
  <c r="J75" s="1"/>
  <c r="N85"/>
  <c r="Q86"/>
  <c r="Q85" s="1"/>
  <c r="T85"/>
  <c r="W85"/>
  <c r="AD85"/>
  <c r="AH85"/>
  <c r="AJ85"/>
  <c r="AL85"/>
  <c r="AN85"/>
  <c r="AP85"/>
  <c r="AR85"/>
  <c r="AT85"/>
  <c r="O85"/>
  <c r="AK85"/>
  <c r="AS85"/>
  <c r="AE85"/>
  <c r="AI140"/>
  <c r="AM140"/>
  <c r="Q96"/>
  <c r="AB111"/>
  <c r="G120"/>
  <c r="U117"/>
  <c r="AB139"/>
  <c r="AB102"/>
  <c r="O138"/>
  <c r="AA138"/>
  <c r="AE138"/>
  <c r="R11"/>
  <c r="R139" s="1"/>
  <c r="AC11"/>
  <c r="AC9" s="1"/>
  <c r="AE140"/>
  <c r="AS140"/>
  <c r="I15"/>
  <c r="F15"/>
  <c r="Q17"/>
  <c r="S17" s="1"/>
  <c r="F18"/>
  <c r="W17"/>
  <c r="AC140"/>
  <c r="AO140"/>
  <c r="T53"/>
  <c r="AS138"/>
  <c r="F63"/>
  <c r="AF61"/>
  <c r="AO69"/>
  <c r="F70"/>
  <c r="F69" s="1"/>
  <c r="G71"/>
  <c r="P73"/>
  <c r="S73"/>
  <c r="G75"/>
  <c r="S77"/>
  <c r="Y77"/>
  <c r="M87"/>
  <c r="S87"/>
  <c r="G97"/>
  <c r="AF96"/>
  <c r="K117"/>
  <c r="P133"/>
  <c r="F17"/>
  <c r="AI10"/>
  <c r="AI138" s="1"/>
  <c r="M17"/>
  <c r="I17"/>
  <c r="H17"/>
  <c r="Y20"/>
  <c r="V21"/>
  <c r="I29"/>
  <c r="H45"/>
  <c r="V53"/>
  <c r="U57"/>
  <c r="AC57"/>
  <c r="AE57"/>
  <c r="G60"/>
  <c r="M61"/>
  <c r="Y61"/>
  <c r="M96"/>
  <c r="S96"/>
  <c r="AB96"/>
  <c r="AC117"/>
  <c r="AK117"/>
  <c r="G129"/>
  <c r="P59"/>
  <c r="AG57"/>
  <c r="AI57"/>
  <c r="AK57"/>
  <c r="AM57"/>
  <c r="AT57"/>
  <c r="AT9" s="1"/>
  <c r="F60"/>
  <c r="AC85"/>
  <c r="U85"/>
  <c r="V85" s="1"/>
  <c r="Y85"/>
  <c r="O102"/>
  <c r="U102"/>
  <c r="I105"/>
  <c r="I120"/>
  <c r="V125"/>
  <c r="P20"/>
  <c r="N12"/>
  <c r="O57"/>
  <c r="P57" s="1"/>
  <c r="O12"/>
  <c r="O140" s="1"/>
  <c r="AJ57"/>
  <c r="AJ12"/>
  <c r="AN57"/>
  <c r="AN12"/>
  <c r="AP12"/>
  <c r="AP140" s="1"/>
  <c r="S20"/>
  <c r="Q12"/>
  <c r="Q140" s="1"/>
  <c r="AL10"/>
  <c r="AL138" s="1"/>
  <c r="J34"/>
  <c r="AQ57"/>
  <c r="AL140"/>
  <c r="G61"/>
  <c r="J78"/>
  <c r="F77"/>
  <c r="T102"/>
  <c r="AD102"/>
  <c r="AH102"/>
  <c r="AP102"/>
  <c r="AT102"/>
  <c r="X117"/>
  <c r="K138"/>
  <c r="AF10"/>
  <c r="AF138" s="1"/>
  <c r="AH10"/>
  <c r="AH138" s="1"/>
  <c r="AO10"/>
  <c r="N139"/>
  <c r="T139"/>
  <c r="AH139"/>
  <c r="AK11"/>
  <c r="AK9" s="1"/>
  <c r="AN139"/>
  <c r="AP139"/>
  <c r="AT11"/>
  <c r="AT139" s="1"/>
  <c r="V13"/>
  <c r="F12"/>
  <c r="X17"/>
  <c r="Y17" s="1"/>
  <c r="AB17"/>
  <c r="Y18"/>
  <c r="AL21"/>
  <c r="P37"/>
  <c r="V37"/>
  <c r="J42"/>
  <c r="J41" s="1"/>
  <c r="I45"/>
  <c r="T45"/>
  <c r="G45" s="1"/>
  <c r="V49"/>
  <c r="L53"/>
  <c r="M53" s="1"/>
  <c r="S53"/>
  <c r="I55"/>
  <c r="AT138"/>
  <c r="M59"/>
  <c r="Q59"/>
  <c r="G59" s="1"/>
  <c r="AF59"/>
  <c r="AF57" s="1"/>
  <c r="AL57"/>
  <c r="AS57"/>
  <c r="AS9" s="1"/>
  <c r="P61"/>
  <c r="V61"/>
  <c r="G63"/>
  <c r="H60"/>
  <c r="H12" s="1"/>
  <c r="J12" s="1"/>
  <c r="I69"/>
  <c r="P69"/>
  <c r="W69"/>
  <c r="Y69" s="1"/>
  <c r="F73"/>
  <c r="J73" s="1"/>
  <c r="H73"/>
  <c r="P77"/>
  <c r="G77"/>
  <c r="P85"/>
  <c r="X85"/>
  <c r="P87"/>
  <c r="V87"/>
  <c r="AI85"/>
  <c r="AM85"/>
  <c r="AQ85"/>
  <c r="G96"/>
  <c r="P96"/>
  <c r="V96"/>
  <c r="Y96"/>
  <c r="F97"/>
  <c r="F86" s="1"/>
  <c r="N102"/>
  <c r="Y111"/>
  <c r="F111"/>
  <c r="J111" s="1"/>
  <c r="AE117"/>
  <c r="AI117"/>
  <c r="AM117"/>
  <c r="AQ117"/>
  <c r="V119"/>
  <c r="Z117"/>
  <c r="AB117"/>
  <c r="AD117"/>
  <c r="AF117"/>
  <c r="AH117"/>
  <c r="AJ117"/>
  <c r="AL117"/>
  <c r="AN117"/>
  <c r="AP117"/>
  <c r="AR117"/>
  <c r="S125"/>
  <c r="Y125"/>
  <c r="F125"/>
  <c r="J125" s="1"/>
  <c r="S133"/>
  <c r="Y133"/>
  <c r="AR12"/>
  <c r="AR140" s="1"/>
  <c r="Z12"/>
  <c r="Z140" s="1"/>
  <c r="K57"/>
  <c r="Z85"/>
  <c r="AB85"/>
  <c r="AB61"/>
  <c r="G65"/>
  <c r="AO57"/>
  <c r="AO9"/>
  <c r="AL11"/>
  <c r="AL139" s="1"/>
  <c r="AA57"/>
  <c r="V59"/>
  <c r="AB57"/>
  <c r="H69"/>
  <c r="J17"/>
  <c r="H77"/>
  <c r="M49"/>
  <c r="M21"/>
  <c r="G73"/>
  <c r="J33"/>
  <c r="AA117"/>
  <c r="S119"/>
  <c r="G133"/>
  <c r="J135"/>
  <c r="H119"/>
  <c r="V117"/>
  <c r="P119"/>
  <c r="J127"/>
  <c r="G125"/>
  <c r="F119"/>
  <c r="AL102"/>
  <c r="Z102"/>
  <c r="S111"/>
  <c r="G104"/>
  <c r="J113"/>
  <c r="J104"/>
  <c r="F102"/>
  <c r="J102" s="1"/>
  <c r="G111"/>
  <c r="F13"/>
  <c r="AP138"/>
  <c r="J37"/>
  <c r="R140"/>
  <c r="X140"/>
  <c r="Y12"/>
  <c r="Y140" s="1"/>
  <c r="AD140"/>
  <c r="AD9"/>
  <c r="AH140"/>
  <c r="R57"/>
  <c r="I60"/>
  <c r="L57"/>
  <c r="F61"/>
  <c r="F58"/>
  <c r="H61"/>
  <c r="H58"/>
  <c r="AR61"/>
  <c r="AR59"/>
  <c r="AR11" s="1"/>
  <c r="AR139" s="1"/>
  <c r="V70"/>
  <c r="T69"/>
  <c r="V69" s="1"/>
  <c r="M86"/>
  <c r="L85"/>
  <c r="M85" s="1"/>
  <c r="G105"/>
  <c r="K102"/>
  <c r="I118"/>
  <c r="L117"/>
  <c r="I119"/>
  <c r="F133"/>
  <c r="F120"/>
  <c r="H133"/>
  <c r="J133" s="1"/>
  <c r="H120"/>
  <c r="S70"/>
  <c r="G70"/>
  <c r="Q58"/>
  <c r="Y70"/>
  <c r="Y58" s="1"/>
  <c r="W58"/>
  <c r="R85"/>
  <c r="S85" s="1"/>
  <c r="H96"/>
  <c r="H86"/>
  <c r="F98"/>
  <c r="F87" s="1"/>
  <c r="J87" s="1"/>
  <c r="AF87"/>
  <c r="G118"/>
  <c r="N117"/>
  <c r="R117"/>
  <c r="S117" s="1"/>
  <c r="I125"/>
  <c r="M10"/>
  <c r="M15"/>
  <c r="M13" s="1"/>
  <c r="J18"/>
  <c r="J20"/>
  <c r="P21"/>
  <c r="J38"/>
  <c r="P49"/>
  <c r="P53"/>
  <c r="S59"/>
  <c r="S61"/>
  <c r="J62"/>
  <c r="J63"/>
  <c r="J71"/>
  <c r="V77"/>
  <c r="J77"/>
  <c r="V86"/>
  <c r="S104"/>
  <c r="P125"/>
  <c r="J129"/>
  <c r="J131"/>
  <c r="V133"/>
  <c r="U138"/>
  <c r="AC138"/>
  <c r="AG138"/>
  <c r="AK138"/>
  <c r="AO138"/>
  <c r="L139"/>
  <c r="X139"/>
  <c r="AA9"/>
  <c r="AE9"/>
  <c r="AM9"/>
  <c r="AQ9"/>
  <c r="H10"/>
  <c r="L138"/>
  <c r="N10"/>
  <c r="P10" s="1"/>
  <c r="R10"/>
  <c r="X10"/>
  <c r="AR10"/>
  <c r="K11"/>
  <c r="O11"/>
  <c r="Q11"/>
  <c r="Q139" s="1"/>
  <c r="S139" s="1"/>
  <c r="U11"/>
  <c r="W11"/>
  <c r="W139" s="1"/>
  <c r="AA139"/>
  <c r="AC139"/>
  <c r="AE139"/>
  <c r="AG139"/>
  <c r="AI11"/>
  <c r="AI139" s="1"/>
  <c r="AK139"/>
  <c r="AM139"/>
  <c r="AO139"/>
  <c r="AQ139"/>
  <c r="AS11"/>
  <c r="AS139" s="1"/>
  <c r="AS137" s="1"/>
  <c r="T140"/>
  <c r="V140" s="1"/>
  <c r="V12"/>
  <c r="AB12"/>
  <c r="K13"/>
  <c r="O13"/>
  <c r="P13" s="1"/>
  <c r="Q13"/>
  <c r="S13" s="1"/>
  <c r="W13"/>
  <c r="Y13" s="1"/>
  <c r="H15"/>
  <c r="N17"/>
  <c r="T17"/>
  <c r="V17" s="1"/>
  <c r="G18"/>
  <c r="G20"/>
  <c r="I21"/>
  <c r="Q21"/>
  <c r="W21"/>
  <c r="Y21" s="1"/>
  <c r="F22"/>
  <c r="F21" s="1"/>
  <c r="J21" s="1"/>
  <c r="F26"/>
  <c r="F25" s="1"/>
  <c r="J25" s="1"/>
  <c r="F46"/>
  <c r="F45" s="1"/>
  <c r="J45" s="1"/>
  <c r="I49"/>
  <c r="Q49"/>
  <c r="S49" s="1"/>
  <c r="F51"/>
  <c r="F49" s="1"/>
  <c r="J49" s="1"/>
  <c r="W53"/>
  <c r="G53" s="1"/>
  <c r="F55"/>
  <c r="F53" s="1"/>
  <c r="H55"/>
  <c r="P58"/>
  <c r="T58"/>
  <c r="Z58"/>
  <c r="Z57" s="1"/>
  <c r="S69"/>
  <c r="P86"/>
  <c r="AF85"/>
  <c r="I96"/>
  <c r="J97"/>
  <c r="Q102"/>
  <c r="R102"/>
  <c r="W102"/>
  <c r="Y102"/>
  <c r="AA102"/>
  <c r="AC102"/>
  <c r="AE102"/>
  <c r="AG102"/>
  <c r="AI102"/>
  <c r="AK102"/>
  <c r="AM102"/>
  <c r="AO102"/>
  <c r="AQ102"/>
  <c r="AS102"/>
  <c r="I104"/>
  <c r="H118"/>
  <c r="P117"/>
  <c r="G119"/>
  <c r="Y119"/>
  <c r="Y117" s="1"/>
  <c r="M37" l="1"/>
  <c r="G37"/>
  <c r="AT137"/>
  <c r="I53"/>
  <c r="G21"/>
  <c r="G12"/>
  <c r="AQ137"/>
  <c r="AM137"/>
  <c r="AI137"/>
  <c r="AE137"/>
  <c r="AA137"/>
  <c r="S86"/>
  <c r="F140"/>
  <c r="AD137"/>
  <c r="J69"/>
  <c r="J70"/>
  <c r="F59"/>
  <c r="J59" s="1"/>
  <c r="J119"/>
  <c r="AH137"/>
  <c r="S102"/>
  <c r="G117"/>
  <c r="AP9"/>
  <c r="AL9"/>
  <c r="AL137"/>
  <c r="AF11"/>
  <c r="AF139" s="1"/>
  <c r="G69"/>
  <c r="G17"/>
  <c r="P12"/>
  <c r="F117"/>
  <c r="H140"/>
  <c r="J140" s="1"/>
  <c r="AH9"/>
  <c r="S12"/>
  <c r="AP137"/>
  <c r="J98"/>
  <c r="F96"/>
  <c r="F85"/>
  <c r="J61"/>
  <c r="T57"/>
  <c r="V57" s="1"/>
  <c r="V58"/>
  <c r="J55"/>
  <c r="H53"/>
  <c r="J53" s="1"/>
  <c r="AN140"/>
  <c r="AN137" s="1"/>
  <c r="AN9"/>
  <c r="AF140"/>
  <c r="AF9"/>
  <c r="L140"/>
  <c r="L137" s="1"/>
  <c r="I12"/>
  <c r="L9"/>
  <c r="U139"/>
  <c r="V139" s="1"/>
  <c r="V11"/>
  <c r="K139"/>
  <c r="M139" s="1"/>
  <c r="G11"/>
  <c r="AR138"/>
  <c r="AR137" s="1"/>
  <c r="AR9"/>
  <c r="M138"/>
  <c r="J86"/>
  <c r="H85"/>
  <c r="W57"/>
  <c r="W10"/>
  <c r="Y10" s="1"/>
  <c r="Y138" s="1"/>
  <c r="G58"/>
  <c r="Q57"/>
  <c r="S57" s="1"/>
  <c r="Q10"/>
  <c r="S10" s="1"/>
  <c r="J58"/>
  <c r="H57"/>
  <c r="M57"/>
  <c r="I57"/>
  <c r="T10"/>
  <c r="F10"/>
  <c r="U9"/>
  <c r="K9"/>
  <c r="AO137"/>
  <c r="AG137"/>
  <c r="G102"/>
  <c r="Y53"/>
  <c r="J26"/>
  <c r="S21"/>
  <c r="P17"/>
  <c r="I13"/>
  <c r="J51"/>
  <c r="G49"/>
  <c r="Z10"/>
  <c r="H117"/>
  <c r="J117" s="1"/>
  <c r="J15"/>
  <c r="H13"/>
  <c r="J13" s="1"/>
  <c r="H11"/>
  <c r="H9" s="1"/>
  <c r="AJ140"/>
  <c r="AJ137" s="1"/>
  <c r="AJ9"/>
  <c r="AB140"/>
  <c r="AB137" s="1"/>
  <c r="AB9"/>
  <c r="N140"/>
  <c r="G140" s="1"/>
  <c r="O139"/>
  <c r="P11"/>
  <c r="X138"/>
  <c r="X137" s="1"/>
  <c r="X9"/>
  <c r="R138"/>
  <c r="I10"/>
  <c r="R9"/>
  <c r="N138"/>
  <c r="N9"/>
  <c r="H138"/>
  <c r="I139"/>
  <c r="I117"/>
  <c r="G13"/>
  <c r="S11"/>
  <c r="I11"/>
  <c r="AI9"/>
  <c r="O9"/>
  <c r="AK137"/>
  <c r="AC137"/>
  <c r="I102"/>
  <c r="J96"/>
  <c r="S58"/>
  <c r="J22"/>
  <c r="AR57"/>
  <c r="J46"/>
  <c r="Y11"/>
  <c r="Y139" s="1"/>
  <c r="M11"/>
  <c r="F11"/>
  <c r="F139" s="1"/>
  <c r="F57" l="1"/>
  <c r="J57" s="1"/>
  <c r="U137"/>
  <c r="J85"/>
  <c r="AF137"/>
  <c r="P140"/>
  <c r="G10"/>
  <c r="P9"/>
  <c r="P139"/>
  <c r="O137"/>
  <c r="Z138"/>
  <c r="Z137" s="1"/>
  <c r="Z9"/>
  <c r="F138"/>
  <c r="F137" s="1"/>
  <c r="F9"/>
  <c r="J9" s="1"/>
  <c r="Q9"/>
  <c r="S9" s="1"/>
  <c r="Q138"/>
  <c r="Q137" s="1"/>
  <c r="M9"/>
  <c r="I9"/>
  <c r="N137"/>
  <c r="P138"/>
  <c r="R137"/>
  <c r="H139"/>
  <c r="J139" s="1"/>
  <c r="J11"/>
  <c r="T138"/>
  <c r="T9"/>
  <c r="V9" s="1"/>
  <c r="V10"/>
  <c r="W138"/>
  <c r="W137" s="1"/>
  <c r="W9"/>
  <c r="Y9" s="1"/>
  <c r="I137"/>
  <c r="G139"/>
  <c r="K137"/>
  <c r="M137" s="1"/>
  <c r="M140"/>
  <c r="I140"/>
  <c r="J10"/>
  <c r="Y137"/>
  <c r="G57"/>
  <c r="I138"/>
  <c r="S138" l="1"/>
  <c r="G9"/>
  <c r="P137"/>
  <c r="S137"/>
  <c r="J138"/>
  <c r="T137"/>
  <c r="V137" s="1"/>
  <c r="V138"/>
  <c r="G137"/>
  <c r="G138"/>
  <c r="H137"/>
  <c r="J137" s="1"/>
  <c r="D7" i="2" l="1"/>
  <c r="D6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D5" i="8" l="1"/>
  <c r="D24" s="1"/>
  <c r="C24"/>
  <c r="D3" i="2" l="1"/>
</calcChain>
</file>

<file path=xl/sharedStrings.xml><?xml version="1.0" encoding="utf-8"?>
<sst xmlns="http://schemas.openxmlformats.org/spreadsheetml/2006/main" count="1480" uniqueCount="423">
  <si>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</si>
  <si>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</si>
  <si>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</si>
  <si>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</si>
  <si>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</si>
  <si>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</si>
  <si>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</si>
  <si>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</si>
  <si>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</si>
  <si>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</si>
  <si>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</si>
  <si>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</si>
  <si>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</si>
  <si>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</si>
  <si>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</si>
  <si>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</si>
  <si>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</si>
  <si>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</si>
  <si>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</si>
  <si>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</si>
  <si>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</si>
  <si>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</si>
  <si>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</si>
  <si>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</si>
  <si>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</si>
  <si>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</si>
  <si>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</si>
  <si>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</si>
  <si>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</si>
  <si>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</si>
  <si>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</si>
  <si>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</si>
  <si>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</si>
  <si>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</si>
  <si>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</si>
  <si>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</si>
  <si>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</si>
  <si>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</si>
  <si>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</si>
  <si>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</si>
  <si>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</si>
  <si>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</si>
  <si>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</si>
  <si>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</si>
  <si>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</si>
  <si>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</si>
  <si>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</si>
  <si>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</si>
  <si>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</si>
  <si>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</si>
  <si>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</si>
  <si>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</si>
  <si>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</si>
  <si>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</si>
  <si>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</si>
  <si>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</si>
  <si>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</si>
  <si>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</si>
  <si>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</si>
  <si>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</si>
  <si>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</si>
  <si>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</si>
  <si>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</si>
  <si>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</si>
  <si>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</si>
  <si>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</si>
  <si>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</si>
  <si>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</si>
  <si>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</si>
  <si>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</si>
  <si>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</si>
  <si>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</si>
  <si>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</si>
  <si>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</si>
  <si>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</si>
  <si>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</si>
  <si>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</si>
  <si>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</si>
  <si>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</si>
  <si>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</si>
  <si>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</si>
  <si>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</si>
  <si>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</si>
  <si>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</si>
  <si>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</si>
  <si>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</si>
  <si>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</si>
  <si>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</si>
  <si>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</si>
  <si>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</si>
  <si>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</si>
  <si>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</si>
  <si>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</si>
  <si>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</si>
  <si>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</si>
  <si>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</si>
  <si>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</si>
  <si>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</si>
  <si>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</si>
  <si>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</si>
  <si>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</si>
  <si>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</si>
  <si>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</si>
  <si>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</si>
  <si>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</si>
  <si>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</si>
  <si>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</si>
  <si>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</si>
  <si>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</si>
  <si>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</si>
  <si>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</si>
  <si>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</si>
  <si>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</si>
  <si>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</si>
  <si>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</si>
  <si>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</si>
  <si>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</si>
  <si>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</si>
  <si>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</si>
  <si>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</si>
  <si>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</si>
  <si>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</si>
  <si>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</si>
  <si>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</si>
  <si>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</si>
  <si>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</si>
  <si>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</si>
  <si>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</si>
  <si>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</si>
  <si>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</si>
  <si>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</si>
  <si>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</si>
  <si>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</si>
  <si>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</si>
  <si>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</si>
  <si>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</si>
  <si>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</si>
  <si>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</si>
  <si>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</si>
  <si>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</si>
  <si>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</si>
  <si>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</si>
  <si>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</si>
  <si>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</si>
  <si>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</si>
  <si>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</si>
  <si>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</si>
  <si>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</si>
  <si>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</si>
  <si>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</si>
  <si>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</si>
  <si>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</si>
  <si>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</si>
  <si>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</si>
  <si>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</si>
  <si>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</si>
  <si>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</si>
  <si>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</si>
  <si>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</si>
  <si>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</si>
  <si>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</si>
  <si>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</si>
  <si>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</si>
  <si>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</si>
  <si>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</si>
  <si>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</si>
  <si>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</si>
  <si>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</si>
  <si>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</si>
  <si>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</si>
  <si>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</si>
  <si>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</si>
  <si>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</si>
  <si>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</si>
  <si>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</si>
  <si>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</si>
  <si>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</si>
  <si>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</si>
  <si>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</si>
  <si>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</si>
  <si>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</si>
  <si>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</si>
  <si>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</si>
  <si>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</si>
  <si>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</si>
  <si>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</si>
  <si>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</si>
  <si>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</si>
  <si>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</si>
  <si>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</si>
  <si>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</si>
  <si>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</si>
  <si>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</si>
  <si>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</si>
  <si>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</si>
  <si>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</si>
  <si>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</si>
  <si>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</si>
  <si>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</si>
  <si>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</si>
  <si>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</si>
  <si>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</si>
  <si>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</si>
  <si>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</si>
  <si>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</si>
  <si>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</si>
  <si>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</si>
  <si>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</si>
  <si>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</si>
  <si>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</si>
  <si>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</si>
  <si>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</si>
  <si>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</si>
  <si>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</si>
  <si>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</si>
  <si>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</si>
  <si>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</si>
  <si>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</si>
  <si>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</si>
  <si>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</si>
  <si>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</si>
  <si>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</si>
  <si>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</si>
  <si>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</si>
  <si>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</si>
  <si>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</si>
  <si>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</si>
  <si>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</si>
  <si>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</si>
  <si>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</si>
  <si>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</si>
  <si>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</si>
  <si>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</si>
  <si>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</si>
  <si>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</si>
  <si>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</si>
  <si>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</si>
  <si>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</si>
  <si>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</si>
  <si>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</si>
  <si>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</si>
  <si>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</si>
  <si>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</si>
  <si>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</si>
  <si>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</si>
  <si>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</si>
  <si>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</si>
  <si>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</si>
  <si>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</si>
  <si>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</si>
  <si>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</si>
  <si>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</si>
  <si>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</si>
  <si>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</si>
  <si>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</si>
  <si>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</si>
  <si>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</si>
  <si>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Обеспечение деятельности МКУ «Управление материально-технического обеспечения города Урай»</t>
  </si>
  <si>
    <t>Организация общественных работ для временного трудоустройства не занятых трудовой деятельностью и безработных граждан</t>
  </si>
  <si>
    <t>2.</t>
  </si>
  <si>
    <t>МКУ "УМТО г.Урай"</t>
  </si>
  <si>
    <t>4.</t>
  </si>
  <si>
    <t>8.</t>
  </si>
  <si>
    <t>1.2.1.</t>
  </si>
  <si>
    <t>Обеспечение деятельности в сфере государственной регистрации актов гражданского состояния</t>
  </si>
  <si>
    <t>1.2.2.</t>
  </si>
  <si>
    <t>Обеспечение деятельности в сфере трудовых отношений и государственного управления охраной труда</t>
  </si>
  <si>
    <t>1.2.3.</t>
  </si>
  <si>
    <t>Обеспечение исполнения полномочий по хранению, комплектованию, учету и использованию архивных документов, относящихся к государственной собственности ХМАО-Югры</t>
  </si>
  <si>
    <t>1.2.4.</t>
  </si>
  <si>
    <t>Обеспечение исполнения полномочий по составлению списков кандидатов в присяжные заседатели федеральных судов общей юстиции Российской Федерации</t>
  </si>
  <si>
    <t>3</t>
  </si>
  <si>
    <t>Обеспечение исполнения гарантий, предоставляемых муниципальным служащим по выплате муниципальной пенсии</t>
  </si>
  <si>
    <t>5.</t>
  </si>
  <si>
    <t>6.</t>
  </si>
  <si>
    <t>Федеральный бюджет</t>
  </si>
  <si>
    <t>Организация обеспечения формирования состава и структуры муниципального имущества (содержание имущества казны, за исключением объектов муниципального жилого фонда)</t>
  </si>
  <si>
    <t>Организация обеспечения сохранности муниципального имущества (страхование муниципального имущества)</t>
  </si>
  <si>
    <t>Организация содержания муниципального жилого фонда</t>
  </si>
  <si>
    <t xml:space="preserve">Обеспечение деятельности по реализации субвенции в рамках осуществления государственных полномочий по обеспечению жилыми помещениями отдельных категорий граждан </t>
  </si>
  <si>
    <t>1.2.6.</t>
  </si>
  <si>
    <t>Осуществление деятельности по опеке и попечительству</t>
  </si>
  <si>
    <t>1.2.5.</t>
  </si>
  <si>
    <t>7.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</si>
  <si>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</si>
  <si>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8</t>
  </si>
  <si>
    <t>МБУ "Молодежный центр", МБОУ ДО ДЮСШ "Звезды Югры"</t>
  </si>
  <si>
    <t>Проведение и  участие в форумах, семинарах, конференциях</t>
  </si>
  <si>
    <t>1.2.7.</t>
  </si>
  <si>
    <t>Организация деятельности по обращению с твердыми коммунальными отходами</t>
  </si>
  <si>
    <t>1.2.8.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</si>
  <si>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</si>
  <si>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Обеспечение деятельности исполнительно-распорядительного органа (администрация города Урай)</t>
  </si>
  <si>
    <t>Осуществление выплат согласно Положению о порядке предоставления мер социальной поддержки и размерах возмещения расходов гражданам, удостоенным звания «Почетный гражданин города Урай»</t>
  </si>
  <si>
    <t>Расходы на обеспечение деятельности (оказание услуг) МАУ МФЦ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</si>
  <si>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</si>
  <si>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</si>
  <si>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</si>
  <si>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</si>
  <si>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</si>
  <si>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</si>
  <si>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</si>
  <si>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</si>
  <si>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</si>
  <si>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</si>
  <si>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Сводно-аналитический отдел администрации города Урай, отдел по учету и отчетности администрации города Урай, МКУ «Управление материально-технического обеспечения города Урай»</t>
  </si>
  <si>
    <t>Сводно-аналитический отдел администрации города Урай, отдел по учету и отчетности администрации города Урай</t>
  </si>
  <si>
    <t xml:space="preserve">Сводно-аналитический отдел администрации города Урай, отдел по учету и отчетности администрации города Урай,
управление по учету и распределению муниципального жилого фонда администрации города Урай
</t>
  </si>
  <si>
    <t>Сводно-аналитический отдел администрации города Урай, отдел по учету и отчетности администрации города Урай, Управление образования администрации города Урай</t>
  </si>
  <si>
    <t>МКУ «Управление жилищно-коммунального хозяйства города Урай»</t>
  </si>
  <si>
    <t>Отдел гражданской защиты населения администрации города Урай</t>
  </si>
  <si>
    <t>МКУ «Управление материально-технического обеспечения города Урай», сводно-аналитический отдел администрации города Урай, отдел по учету и отчетности администрации города Урай</t>
  </si>
  <si>
    <t xml:space="preserve">сводно-аналитический отдел администрации города Урай, МКУ «Управление материально-технического обеспечения города Урай», 
МКУ «Управление градостроительства, землепользования и природопользования города Урай»,
отдел по учету и отчетности администрации города Урай, Управление образования администрации города Урай, муниципальное бюджетное учреждение «Молодежный центр»
</t>
  </si>
  <si>
    <t>Управление образования администрации города Урай</t>
  </si>
  <si>
    <t xml:space="preserve">отдел опеки и попечительства администрации города Урай,
МКУ «Управление жилищно-коммунального хозяйства города Урай»
</t>
  </si>
  <si>
    <t>управление по организационным вопросам и кадрам администрации города Урай, МАУ «ГМЦ»</t>
  </si>
  <si>
    <t>МАУ МФЦ</t>
  </si>
  <si>
    <t>Подпрограмма III «Развитие муниципальной службы и резерва управленческих кадров»</t>
  </si>
  <si>
    <t>Подпрограмма II «Предоставление муниципальных услуг органами администрации города Урай»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</si>
  <si>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</si>
  <si>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</si>
  <si>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комитет по управлению муниципальным имуществом администрации города Урай</t>
  </si>
  <si>
    <t>управление по учету и распределению муниципального жилого фонда администрации города Урай, МКУ «Управление жилищно-коммунального хозяйства города Урай»</t>
  </si>
  <si>
    <t>проверка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</si>
  <si>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</si>
  <si>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</si>
  <si>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1;2;3;4;5</t>
  </si>
  <si>
    <t>6;7;9</t>
  </si>
  <si>
    <t>1.</t>
  </si>
  <si>
    <t>3.</t>
  </si>
  <si>
    <t>не требует финансирования</t>
  </si>
  <si>
    <t>органы администрации города Урай, предоставляющие муниципальные услуги, МКУ «Управление градостроительства, землепользования и природопользования города Урай»</t>
  </si>
  <si>
    <t>управление экономики, анализа и прогнозирования администрации города Урай, органы администрации города Урай, предоставляющие муниципальные услуги, МКУ «Управление градостроительства, землепользования и природопользования города Урай»</t>
  </si>
  <si>
    <t>органы администрации города Урай, предоставляющие муниципальные услуги</t>
  </si>
  <si>
    <t>отдел по работе с обращениями граждан администрации города Урай</t>
  </si>
  <si>
    <t>управление по организационным вопросам и кадрам администрации города Урай</t>
  </si>
  <si>
    <t xml:space="preserve">управление по организационным вопросам и кадрам администрации города Урай, пресс- служба администрации города Урай. </t>
  </si>
  <si>
    <t>управление по организационным вопросам и кадрам администрации города Урай, управление экономики, анализа и прогнозирования администрации города Урай, правовое управление администрации города Урай</t>
  </si>
  <si>
    <t>кадровая служба управления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</si>
  <si>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</si>
  <si>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8;10</t>
  </si>
  <si>
    <t>2;3;4;5;6.1;6.2;6.3;6.4;7.1</t>
  </si>
  <si>
    <t>1.;5</t>
  </si>
  <si>
    <t>2.;4.;6</t>
  </si>
  <si>
    <t>Анализ нормативных правовых актов в сфере муниципальной службы с целью совершенствования нормативного правового регулирования вопросов, подлежащих регулированию на уровне муниципального образования</t>
  </si>
  <si>
    <t>Освещение в средствах массовой информации и в информационно-телекоммуникационной сети «Интернет» деятельности органов местного самоуправления</t>
  </si>
  <si>
    <t>Разработка критериев оценки эффективности работы муниципальных служащих администрации города Урай</t>
  </si>
  <si>
    <t>Проведение мероприятий направленных на  предупреждение коррупции, выявление конфликта интересов на муниципальной службе</t>
  </si>
  <si>
    <t>Проведение конкурса «Лучший работник органов местного самоуправления»</t>
  </si>
  <si>
    <t>1.;2.;3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</si>
  <si>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</si>
  <si>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</si>
  <si>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Актуализация информационного ресурса (базы данных) содержащих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</t>
  </si>
  <si>
    <t>Проведение контрольных мероприятий по проверке использования и сохранности муниципального имущества, в том числе инвентаризация</t>
  </si>
  <si>
    <t>Повышение действенности органов управления организаций с участием муниципального образования, в том числе совершенствования порядка деятельности ревизионных комиссий, включая разработку типовых форм документов</t>
  </si>
  <si>
    <t>1.;2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</si>
  <si>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</si>
  <si>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>В отчетном периоде оцифровано 65 дел постоянного хранения на 13 516 листах</t>
  </si>
  <si>
    <t>Сведения об услугах размещены в информационной системе «Реестр государственных и муниципальных услуг (функций) ХМАО-Югры» (далее -РРГУ), и отражены на Едином портале государственных и муниципальных услуг (http://www.gosuslugi.ru/)</t>
  </si>
  <si>
    <t>Обновление информации в РРГУ осуществляется по мере необходимости, с учетом изменения законодательства и утверждения новых муниципальных услуг. За 1 полугодие  2017  актуализация информации в РРГУ была проведена в январе, марте-июне 2017 года ответственными лицами органов администрации  и МКУ по 49 муниципальным услугам</t>
  </si>
  <si>
    <t>Общее количество услуг на 01.07.2017 года составляет 54. Обеспечена возможность предоставления услуг в электронном виде через ЕПГУ по 18 услугам: 14 муниципальным услугам и 4 – услугам учреждений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</si>
  <si>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 -утвержден план мероприятий по популяризации механизмов получения государственных и муниципальных услуг в электронной форме в городе Урай на 2016-2017 годы (постановление администрации города Урай от 01.03.2016 №580);
- в рамках исполнения Указа Президента Российской Федерации от
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
В 1 полугодии 2017 зарегистрировано  на Едином портале – 2453 человек.
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    
   Из 43 муниципальных услуг -14,  из 11 услуг, предоставляемых муниципальными учреждениями – 5 предоставляются через Госпортал  и официальные сайты организаций  в электронном виде.
В 1 полугодии 2017 оказано услуг в электронном виде – 11863, в 1 полугодии 2016 – 15342.
</t>
  </si>
  <si>
    <t>Количество муниципальных услуг на 01.07.2017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1 полугодие разработано и утверждено 4 административных регламента. 1 административный регламент  (КУМИ) находится  на стадии разработки</t>
  </si>
  <si>
    <t>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01.07.2017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(20 услуг).
Обновление Реестра осуществляется по мере необходимости, с учетом изменения законодательства. За  1 полугодие 2017 года проведено 2 обновления: 15.02.2017 и 23.03.2017. Данный Реестр актуализирован и размещен на официальном сайте органов местного самоуправления города Урай</t>
  </si>
  <si>
    <t>Размещение информации о муниципальных услугах на Едином портале государственных и муниципальных услуг (функций) Российской Федерации и (или) Портале государственных и муниципальных услуг Ханты-Мансийского автономного округа – Югры</t>
  </si>
  <si>
    <t>Актуализация информации в Региональном реестре функций органов государственной власти</t>
  </si>
  <si>
    <t>Расширение перечня муниципальных услуг, предоставляемых в электронном виде</t>
  </si>
  <si>
    <t>Привлечение заявителей к получению муниципальных услуг в электронном виде через Единый портал государственных и муниципальных услуг (функций)</t>
  </si>
  <si>
    <t>Ежегодный социологический опрос по удовлетворенности граждан предоставлением муниципальных услуг</t>
  </si>
  <si>
    <t>Формирование и ведение реестра муниципальных услуг муниципального образования городской округ город Урай</t>
  </si>
  <si>
    <t>Разработка административных регламентов предоставления муниципальных услуг в муниципальном образовании городской округ город Урай</t>
  </si>
  <si>
    <t>не установлен</t>
  </si>
  <si>
    <t>За отчетный период заключены 22 муниципальных контракта на содержание муниципального жилого фонда</t>
  </si>
  <si>
    <t>Исполнение не в полном объеме обусловлено тем, что оплата за содержание муниципального жилого фонда осуществляется за фактически произведенные затраты</t>
  </si>
  <si>
    <t xml:space="preserve">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отчетный период 2017 года проведено  2 заседания комиссии, в ходе которого рассмотрено 7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год.
3) Доклады руководителей и специалистов организаций, допустивших случаи тяжелого травматизма на производстве за 4 квартал 2016 года, 1 квартал 2017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Урай.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году.
6)Информация о состоянии пожарной безопасности в бюджетных организациях города Урай за 1 полугодие 2017 года.
7) Об исполнении протокольных поручений.</t>
  </si>
  <si>
    <t>Освоение средств за отчетный период не в полном объеме обусловлено переносом сроков проведения курсов повышения квалификации</t>
  </si>
  <si>
    <t xml:space="preserve">          За I полугодие  2017 года  отделом ЗАГС зарегистрировано 765 записей актов гражданского состояния. Составлено 266 актовых записей о рождении (мальчиков родилось 126 человек, девочек - 140 человек). Зарегистрировано 129  записей акта о заключении брака, 191 запись о смерти, 124 записи о расторжении брака, 56 записей  об установлении отцовства, 17 записей актов  о перемене имени и 2 записи об усыновлении. 
           За I  полугодие  отделом ЗАГС города оказано государственных услуг населению 2915, в электронном виде – 89, оформлено 4033 юридически значимых действий.
</t>
  </si>
  <si>
    <t xml:space="preserve">В отчетном периоде специалистами Отдела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</t>
  </si>
  <si>
    <t xml:space="preserve">Освоение средств за отчетный период не в полном объеме обусловлено наличием вакансий; длительностью проведения конкурсных процедур; экономией средств, сложившейся в результате проведения конкурсных процедур, а также с тем, что оплата за содержание помещения осуществляется  за фактически произведенные затраты
</t>
  </si>
  <si>
    <t xml:space="preserve">     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</si>
  <si>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t>За отчетный период  22 человека получил социальную поддержку в форме единовременной денежной выплаты, в том числе:
- 1 человек при присвоении звания «Почетный гражданин города Урай»;
- 2 человека в связи с юбилейной датой;
- 19 человек к Дню города Урай.</t>
  </si>
  <si>
    <t>Освоение средств за отчетный период не в полном объеме обусловлено снижением числа человек, заявившихся за социальными выплатами (заявительный характер выплат)</t>
  </si>
  <si>
    <t>За отчетный период были произведены ежемесячные выплаты вознаграждения приемным родителям за воспитание ребенка и ремонт одного  жилого помещения</t>
  </si>
  <si>
    <t>Освоение средств за отчетный период не в полном объеме обусловлено уменьшением количества кандидатов в приемные родители, а также уменьшением количества новых детей переданных на воспитание в приемные семьи, а также экономией средств, сложившейся в результате проведения конкурсных процедур</t>
  </si>
  <si>
    <t>В рамках целевой программы Ханты-Мансийского автономного округа - Югра «Содействие занятости населения в Ханты-Мансийском автономном округе-Югре на 2014-2020 годы» за отчетный период временно трудоустроенно на общественные работы 273 человека, 5 человек, испытывающих трудности в поиске работы, оборудовано одно рабочее место</t>
  </si>
  <si>
    <r>
      <rPr>
        <sz val="9"/>
        <color theme="1"/>
        <rFont val="Times New Roman"/>
        <family val="1"/>
        <charset val="204"/>
      </rPr>
      <t xml:space="preserve">   Через  МАУ «МФЦ» в настоящее время оказывается 216 услуг, в том числе 62 федеральная услуга,  111 региональных и 43 муниципальных. 
    За I полугодие 2017 года оказано услуг по приему, выдаче документов и  оказанию консультаций – 20 569 (в том числе: федеральные-11 483, региональные - 8 561 и муниципальные-525, услуги полного цикла - 3). </t>
    </r>
    <r>
      <rPr>
        <sz val="11"/>
        <color theme="1"/>
        <rFont val="Times New Roman"/>
        <family val="1"/>
        <charset val="204"/>
      </rPr>
      <t xml:space="preserve">
</t>
    </r>
  </si>
  <si>
    <t>Освоение средств за отчетный период не в полном объеме обусловлено наличием вакантных рабочих мест, переносом ежегодных отпусков на более поздний период</t>
  </si>
  <si>
    <t>В отчетном периоде  по результатам анализа нормативных правовых актов в сфере муниципальной службы вносить в них изменения и/или дополнения не требовалось</t>
  </si>
  <si>
    <t xml:space="preserve">   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СМИ.
</t>
  </si>
  <si>
    <t>Критерии оценки эффективности установлены решением Думы города Урай от 28.02.2008 №5. В отчетном периоде изменений в данный документ не вносились.</t>
  </si>
  <si>
    <t>В отчетном периоде совместно с представителем Прокуратуры города Урай проведена аппаратная учеба по декларационной кампании за 2016 год.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Урай.</t>
  </si>
  <si>
    <t>В мае 2017 года проведен  конкурс «Лучший работник органов местного самоуправления города Урай». Определены победители конкурса.</t>
  </si>
  <si>
    <t xml:space="preserve">В отчетном периоде обучено 26  муниципальных служащих администрации города Урай, а также для работников, связанных со сферой закупок, проведён семинар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года». </t>
  </si>
  <si>
    <t>Освоение средств за отчетный период не в полном объеме обусловлено тем, что заработная плата начисляется за фактически отработанное время.</t>
  </si>
  <si>
    <t xml:space="preserve">             Работа учреждения направлена на содержание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              В рамках данной деятельности в отчетном периоде заключены муниципальные контракты и договора в количестве 41 единицы на содержание объектов муниципальной казны; на техническое обслуживание и содержание объектов – 66 муниципальных контрактов и договоров (содержание нежилых помещений в многоквартирных домах, приобретение строительных и хозяйственных материалов, поставка огнетушителей, оказание услуг связи, услуги вневедомственной охраны, охраны объектов посредством кнопки тревожной сигнализации, техническое обслуживание внутридомовых сетей, электрических сетей, узлов учета, систем вентиляции и т.д.); на содержание и ремонт транспортных средств – 28 муниципальных контрактов и договоров (ремонт, техническое обслуживание, приобретение запасных частей, горюче-смазочных материалов).                                                                                                                                                                                                                                                                                                Организована бесперебойная работа всех служб учреждения для поддержания хозяйственно-технической деятельности. </t>
  </si>
  <si>
    <t xml:space="preserve">Освоение средств за отчетный период не в полном объеме обусловлено  экономией средств, сложившейся в результате проведения конкурсных процедур, а также с тем, что оплата за содержание помещения осуществляется  за фактически произведенные затраты
</t>
  </si>
  <si>
    <t xml:space="preserve">           В отчетном периоде состоялось определение поставщика на оказание услуг по барьерной дератизации, а также сбору и утилизации трупов животных, по проведению противоэпидемических мероприятий по снижению численности иксодовых клещей, кровососущих комаров. Согласно условиям заключенного муниципального контракта - работы выполняются поэтапно. За 1 полугодие 2017 года два из трех этапов выполнено</t>
  </si>
  <si>
    <t>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информации.</t>
  </si>
  <si>
    <t xml:space="preserve"> 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48 объектов недвижимости.
</t>
  </si>
  <si>
    <t xml:space="preserve">    В соотвествии с постановлением администрации города Урай от 29.12.2016  №4119 создана комиссия и определен перечень  муниципальных учреждений для проведения проверок в 2017 году.
     В отчетном периоде согласно срокам проведения контрольных мероприятий проведены проверки использования  муниципального имущества, переданного в оперативное управление  следующих учреждений:
1.Управление образования администрации города Урай.
2.МБУ «Молодежный центр».                                                                         
3. МКУ "Управление капитального строительства города Урай.                                                                                                                                                                                                                           4. МБОУ СОШ №2.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соотвествии с постановлением от 29.12.2016 №4119 отчет о результатах проверки  будет предоставлен  главе города Урай  в срок до 25.12.2017.
</t>
  </si>
  <si>
    <t xml:space="preserve">  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
   Для эффективности и действенности органов управления акционерных обществ разработаны показатели премирования руководителей, которые являются неотъемлемой частью трудовых договоров с исполнительными органами акционерных обществ – генеральными директорами.
   Выплата ежемесячной, квартальной премии определяется в соответствии с показателями премирования, формы которых утверждены Советом директоров.
   Упорядочены формы  и сроки  сдачи отчетности акционерных обществ. Типовые формы отчетности утверждены Советами директоров акционерных обществ, с участием муниципального образования, сроки сдачи отчетности прописаны в трудовых договорах генеральных директоров акционерных обществ.
   Органом, осуществляющим контроль за финансово-хозяйственной деятельностью акционерных обществ, является ревизионная комиссия, которая избирается общим собранием акционеров.
   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 и графиком проверок, утвержденным главой города Урай.
    В отчетном периоде  согласно утвержденному графику проверок проведены ревизионные проверки АО «Шаимгаз», МУП ритуальных услуг, АО "Водоканал", АО Урайтеплоэнергия", АО "Дорожник", ОАО "ЮТЭК-Энергия", ОАО "Агроника", АО "Центр красоты и здоровья". Акты ревизионных  проверок  и заключения по результатам проверок направлены в адрес главы города Урай и заместителям главы города Урай. В отчетном периоде проведены годовые общие собрания акционеров в соответствии с Федеральным законом  от 26.12.1995 №208-ФЗ "Об акционерных обществах": АО «Шаимгаз»,  АО "Водоканал", АО Урайтеплоэнергия",  АО "Центр красоты и здоровья", ОАО "Агроника", ОАО "Ютэк-Энергия", АО "Дорожник". Проведена комиссия по рассмотрению итогов финансово-хозяйственной деятельности МУП ритуальных услуг.
</t>
  </si>
  <si>
    <t xml:space="preserve"> 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аудита.
</t>
  </si>
  <si>
    <t>Исполнение не в полном объеме обусловлено тем, что оплата осуществляется за фактически произведенные затраты</t>
  </si>
  <si>
    <t xml:space="preserve">Освоение средств за отчетный период не в полном объеме обусловлено наличием вакансий, а также с тем, что оплата за содержание помещения осуществляется  за фактически произведенные затраты
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</si>
  <si>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</si>
  <si>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</si>
  <si>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</si>
  <si>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</si>
  <si>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</si>
  <si>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</si>
  <si>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</si>
  <si>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</si>
  <si>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</si>
  <si>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</si>
  <si>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</si>
  <si>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2015-2017 годы       на 01.07.2017 год</t>
  </si>
  <si>
    <t xml:space="preserve">В отчетном периоде в действующие муниципальные нормативные правовые акты администрации города Урай внесено 126 изменений и дополнений, принято 23 новых муниципальных нормативных правовых актов администрации города Урай, 21 муниципальный нормативный правовой акт администрации города Урай о признании утратившим силу ранее принятого акта, 14 муниципальных нормативных правовых актов администрации города Урай взамен отмененных.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власти. 
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</si>
  <si>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работника и обратно,
длительностью проведения конкурсных процедур, наличием экономии, сложившейся при проведении конкурсных процедур</t>
  </si>
  <si>
    <t>Е.М.Погадаева</t>
  </si>
  <si>
    <t>Цель 1. Совершенствование муниципального управления,  повышение его эффективности</t>
  </si>
  <si>
    <t>Задача 1. Совершенствование решения вопросов местного самоуправления</t>
  </si>
  <si>
    <t>Цель 2. Совершенствование организации муниципальной службы</t>
  </si>
  <si>
    <t>Цель 3. Повышение эффективности исполнения работниками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</si>
</sst>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164" fontId="13" fillId="0" borderId="0" applyFont="0" applyFill="0" applyBorder="0" applyAlignment="0" applyProtection="0"/>
  </cellStyleXfs>
  <cellXfs count="325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vertical="center" wrapText="1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24" fillId="5" borderId="8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0" fontId="29" fillId="5" borderId="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7" fontId="3" fillId="5" borderId="13" xfId="0" applyNumberFormat="1" applyFont="1" applyFill="1" applyBorder="1" applyAlignment="1">
      <alignment horizontal="center" vertical="center"/>
    </xf>
    <xf numFmtId="167" fontId="3" fillId="5" borderId="14" xfId="0" applyNumberFormat="1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0" fontId="29" fillId="5" borderId="10" xfId="0" applyFont="1" applyFill="1" applyBorder="1" applyAlignment="1">
      <alignment horizontal="left" vertical="top" wrapText="1"/>
    </xf>
    <xf numFmtId="0" fontId="29" fillId="5" borderId="8" xfId="0" applyFont="1" applyFill="1" applyBorder="1" applyAlignment="1">
      <alignment horizontal="left" vertical="top" wrapText="1"/>
    </xf>
    <xf numFmtId="0" fontId="29" fillId="5" borderId="6" xfId="0" applyFont="1" applyFill="1" applyBorder="1" applyAlignment="1">
      <alignment horizontal="left" vertical="top" wrapText="1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5" fillId="5" borderId="10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143</xdr:row>
      <xdr:rowOff>19050</xdr:rowOff>
    </xdr:from>
    <xdr:ext cx="184731" cy="23980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33925" y="81305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80" t="s">
        <v>40</v>
      </c>
      <c r="B1" s="181"/>
      <c r="C1" s="182" t="s">
        <v>41</v>
      </c>
      <c r="D1" s="183" t="s">
        <v>45</v>
      </c>
      <c r="E1" s="184"/>
      <c r="F1" s="185"/>
      <c r="G1" s="183" t="s">
        <v>18</v>
      </c>
      <c r="H1" s="184"/>
      <c r="I1" s="185"/>
      <c r="J1" s="183" t="s">
        <v>19</v>
      </c>
      <c r="K1" s="184"/>
      <c r="L1" s="185"/>
      <c r="M1" s="183" t="s">
        <v>23</v>
      </c>
      <c r="N1" s="184"/>
      <c r="O1" s="185"/>
      <c r="P1" s="186" t="s">
        <v>24</v>
      </c>
      <c r="Q1" s="187"/>
      <c r="R1" s="183" t="s">
        <v>25</v>
      </c>
      <c r="S1" s="184"/>
      <c r="T1" s="185"/>
      <c r="U1" s="183" t="s">
        <v>26</v>
      </c>
      <c r="V1" s="184"/>
      <c r="W1" s="185"/>
      <c r="X1" s="186" t="s">
        <v>27</v>
      </c>
      <c r="Y1" s="188"/>
      <c r="Z1" s="187"/>
      <c r="AA1" s="186" t="s">
        <v>28</v>
      </c>
      <c r="AB1" s="187"/>
      <c r="AC1" s="183" t="s">
        <v>29</v>
      </c>
      <c r="AD1" s="184"/>
      <c r="AE1" s="185"/>
      <c r="AF1" s="183" t="s">
        <v>30</v>
      </c>
      <c r="AG1" s="184"/>
      <c r="AH1" s="185"/>
      <c r="AI1" s="183" t="s">
        <v>31</v>
      </c>
      <c r="AJ1" s="184"/>
      <c r="AK1" s="185"/>
      <c r="AL1" s="186" t="s">
        <v>32</v>
      </c>
      <c r="AM1" s="187"/>
      <c r="AN1" s="183" t="s">
        <v>33</v>
      </c>
      <c r="AO1" s="184"/>
      <c r="AP1" s="185"/>
      <c r="AQ1" s="183" t="s">
        <v>34</v>
      </c>
      <c r="AR1" s="184"/>
      <c r="AS1" s="185"/>
      <c r="AT1" s="183" t="s">
        <v>35</v>
      </c>
      <c r="AU1" s="184"/>
      <c r="AV1" s="185"/>
    </row>
    <row r="2" spans="1:48" ht="39" customHeight="1">
      <c r="A2" s="181"/>
      <c r="B2" s="181"/>
      <c r="C2" s="182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82" t="s">
        <v>83</v>
      </c>
      <c r="B3" s="182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82"/>
      <c r="B4" s="182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2"/>
      <c r="B5" s="182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2"/>
      <c r="B6" s="182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82"/>
      <c r="B7" s="18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2"/>
      <c r="B8" s="182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2"/>
      <c r="B9" s="18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90" t="s">
        <v>58</v>
      </c>
      <c r="B1" s="190"/>
      <c r="C1" s="190"/>
      <c r="D1" s="190"/>
      <c r="E1" s="190"/>
    </row>
    <row r="2" spans="1:5">
      <c r="A2" s="12"/>
      <c r="B2" s="12"/>
      <c r="C2" s="12"/>
      <c r="D2" s="12"/>
      <c r="E2" s="12"/>
    </row>
    <row r="3" spans="1:5">
      <c r="A3" s="191" t="s">
        <v>130</v>
      </c>
      <c r="B3" s="191"/>
      <c r="C3" s="191"/>
      <c r="D3" s="191"/>
      <c r="E3" s="19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89" t="s">
        <v>79</v>
      </c>
      <c r="B26" s="189"/>
      <c r="C26" s="189"/>
      <c r="D26" s="189"/>
      <c r="E26" s="189"/>
    </row>
    <row r="27" spans="1:5">
      <c r="A27" s="28"/>
      <c r="B27" s="28"/>
      <c r="C27" s="28"/>
      <c r="D27" s="28"/>
      <c r="E27" s="28"/>
    </row>
    <row r="28" spans="1:5">
      <c r="A28" s="189" t="s">
        <v>80</v>
      </c>
      <c r="B28" s="189"/>
      <c r="C28" s="189"/>
      <c r="D28" s="189"/>
      <c r="E28" s="189"/>
    </row>
    <row r="29" spans="1:5">
      <c r="A29" s="189"/>
      <c r="B29" s="189"/>
      <c r="C29" s="189"/>
      <c r="D29" s="189"/>
      <c r="E29" s="189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Normal="100"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04" t="s">
        <v>46</v>
      </c>
      <c r="C3" s="204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05" t="s">
        <v>2</v>
      </c>
      <c r="B5" s="198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05"/>
      <c r="B6" s="198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05"/>
      <c r="B7" s="198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05" t="s">
        <v>4</v>
      </c>
      <c r="B8" s="198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92" t="s">
        <v>205</v>
      </c>
      <c r="N8" s="193"/>
      <c r="O8" s="194"/>
      <c r="P8" s="60"/>
      <c r="Q8" s="60"/>
    </row>
    <row r="9" spans="1:256" ht="33.75" customHeight="1">
      <c r="A9" s="205"/>
      <c r="B9" s="198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05" t="s">
        <v>5</v>
      </c>
      <c r="B10" s="198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05"/>
      <c r="B11" s="198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05" t="s">
        <v>6</v>
      </c>
      <c r="B12" s="198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05"/>
      <c r="B13" s="198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05" t="s">
        <v>10</v>
      </c>
      <c r="B14" s="198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05"/>
      <c r="B15" s="198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11"/>
      <c r="AJ16" s="211"/>
      <c r="AK16" s="211"/>
      <c r="AZ16" s="211"/>
      <c r="BA16" s="211"/>
      <c r="BB16" s="211"/>
      <c r="BQ16" s="211"/>
      <c r="BR16" s="211"/>
      <c r="BS16" s="211"/>
      <c r="CH16" s="211"/>
      <c r="CI16" s="211"/>
      <c r="CJ16" s="211"/>
      <c r="CY16" s="211"/>
      <c r="CZ16" s="211"/>
      <c r="DA16" s="211"/>
      <c r="DP16" s="211"/>
      <c r="DQ16" s="211"/>
      <c r="DR16" s="211"/>
      <c r="EG16" s="211"/>
      <c r="EH16" s="211"/>
      <c r="EI16" s="211"/>
      <c r="EX16" s="211"/>
      <c r="EY16" s="211"/>
      <c r="EZ16" s="211"/>
      <c r="FO16" s="211"/>
      <c r="FP16" s="211"/>
      <c r="FQ16" s="211"/>
      <c r="GF16" s="211"/>
      <c r="GG16" s="211"/>
      <c r="GH16" s="211"/>
      <c r="GW16" s="211"/>
      <c r="GX16" s="211"/>
      <c r="GY16" s="211"/>
      <c r="HN16" s="211"/>
      <c r="HO16" s="211"/>
      <c r="HP16" s="211"/>
      <c r="IE16" s="211"/>
      <c r="IF16" s="211"/>
      <c r="IG16" s="211"/>
      <c r="IV16" s="211"/>
    </row>
    <row r="17" spans="1:17" ht="320.25" customHeight="1">
      <c r="A17" s="205" t="s">
        <v>7</v>
      </c>
      <c r="B17" s="198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05"/>
      <c r="B18" s="198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05" t="s">
        <v>8</v>
      </c>
      <c r="B19" s="198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05"/>
      <c r="B20" s="198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05" t="s">
        <v>9</v>
      </c>
      <c r="B21" s="198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05"/>
      <c r="B22" s="198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95" t="s">
        <v>15</v>
      </c>
      <c r="B23" s="212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97"/>
      <c r="B24" s="212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08" t="s">
        <v>16</v>
      </c>
      <c r="B25" s="212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08"/>
      <c r="B26" s="212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05" t="s">
        <v>94</v>
      </c>
      <c r="B31" s="198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05"/>
      <c r="B32" s="198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05" t="s">
        <v>96</v>
      </c>
      <c r="B34" s="198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05"/>
      <c r="B35" s="198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09" t="s">
        <v>98</v>
      </c>
      <c r="B36" s="199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10"/>
      <c r="B37" s="200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05" t="s">
        <v>100</v>
      </c>
      <c r="B39" s="198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01" t="s">
        <v>247</v>
      </c>
      <c r="I39" s="202"/>
      <c r="J39" s="202"/>
      <c r="K39" s="202"/>
      <c r="L39" s="202"/>
      <c r="M39" s="202"/>
      <c r="N39" s="202"/>
      <c r="O39" s="203"/>
      <c r="P39" s="59" t="s">
        <v>189</v>
      </c>
      <c r="Q39" s="60"/>
    </row>
    <row r="40" spans="1:17" ht="39.950000000000003" customHeight="1">
      <c r="A40" s="205" t="s">
        <v>11</v>
      </c>
      <c r="B40" s="198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05" t="s">
        <v>101</v>
      </c>
      <c r="B41" s="198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05"/>
      <c r="B42" s="198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05" t="s">
        <v>103</v>
      </c>
      <c r="B43" s="198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15" t="s">
        <v>192</v>
      </c>
      <c r="H43" s="216"/>
      <c r="I43" s="216"/>
      <c r="J43" s="216"/>
      <c r="K43" s="216"/>
      <c r="L43" s="216"/>
      <c r="M43" s="216"/>
      <c r="N43" s="216"/>
      <c r="O43" s="217"/>
      <c r="P43" s="60"/>
      <c r="Q43" s="60"/>
    </row>
    <row r="44" spans="1:17" ht="39.950000000000003" customHeight="1">
      <c r="A44" s="205"/>
      <c r="B44" s="198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05" t="s">
        <v>105</v>
      </c>
      <c r="B45" s="198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05" t="s">
        <v>13</v>
      </c>
      <c r="B46" s="198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06" t="s">
        <v>108</v>
      </c>
      <c r="B47" s="199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07"/>
      <c r="B48" s="200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06" t="s">
        <v>109</v>
      </c>
      <c r="B49" s="199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07"/>
      <c r="B50" s="200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05" t="s">
        <v>111</v>
      </c>
      <c r="B51" s="198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05"/>
      <c r="B52" s="198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05" t="s">
        <v>114</v>
      </c>
      <c r="B53" s="198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05"/>
      <c r="B54" s="198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05" t="s">
        <v>115</v>
      </c>
      <c r="B55" s="198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05"/>
      <c r="B56" s="198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05" t="s">
        <v>117</v>
      </c>
      <c r="B57" s="198" t="s">
        <v>118</v>
      </c>
      <c r="C57" s="57" t="s">
        <v>21</v>
      </c>
      <c r="D57" s="97" t="s">
        <v>235</v>
      </c>
      <c r="E57" s="96"/>
      <c r="F57" s="96" t="s">
        <v>236</v>
      </c>
      <c r="G57" s="218" t="s">
        <v>233</v>
      </c>
      <c r="H57" s="218"/>
      <c r="I57" s="96" t="s">
        <v>237</v>
      </c>
      <c r="J57" s="96" t="s">
        <v>238</v>
      </c>
      <c r="K57" s="192" t="s">
        <v>239</v>
      </c>
      <c r="L57" s="193"/>
      <c r="M57" s="193"/>
      <c r="N57" s="193"/>
      <c r="O57" s="194"/>
      <c r="P57" s="92" t="s">
        <v>199</v>
      </c>
      <c r="Q57" s="60"/>
    </row>
    <row r="58" spans="1:17" ht="39.950000000000003" customHeight="1">
      <c r="A58" s="205"/>
      <c r="B58" s="198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95" t="s">
        <v>120</v>
      </c>
      <c r="B59" s="195" t="s">
        <v>119</v>
      </c>
      <c r="C59" s="195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96"/>
      <c r="B60" s="196"/>
      <c r="C60" s="196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96"/>
      <c r="B61" s="196"/>
      <c r="C61" s="197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97"/>
      <c r="B62" s="197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05" t="s">
        <v>121</v>
      </c>
      <c r="B63" s="198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05"/>
      <c r="B64" s="198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08" t="s">
        <v>123</v>
      </c>
      <c r="B65" s="212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08"/>
      <c r="B66" s="212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05" t="s">
        <v>125</v>
      </c>
      <c r="B67" s="198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05"/>
      <c r="B68" s="198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06" t="s">
        <v>127</v>
      </c>
      <c r="B69" s="199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07"/>
      <c r="B70" s="200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213" t="s">
        <v>255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214" t="s">
        <v>216</v>
      </c>
      <c r="C79" s="214"/>
      <c r="D79" s="214"/>
      <c r="E79" s="21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6"/>
  <sheetViews>
    <sheetView tabSelected="1" workbookViewId="0">
      <pane xSplit="4" ySplit="6" topLeftCell="J85" activePane="bottomRight" state="frozen"/>
      <selection pane="topRight" activeCell="E1" sqref="E1"/>
      <selection pane="bottomLeft" activeCell="A7" sqref="A7"/>
      <selection pane="bottomRight" activeCell="D13" sqref="D13:D16"/>
    </sheetView>
  </sheetViews>
  <sheetFormatPr defaultRowHeight="15"/>
  <cols>
    <col min="2" max="4" width="23.7109375" customWidth="1"/>
    <col min="5" max="5" width="11.7109375" customWidth="1"/>
    <col min="6" max="6" width="10.85546875" customWidth="1"/>
    <col min="7" max="7" width="10.85546875" hidden="1" customWidth="1"/>
    <col min="8" max="8" width="9.28515625" customWidth="1"/>
    <col min="9" max="9" width="9.28515625" hidden="1" customWidth="1"/>
    <col min="12" max="13" width="9.140625" customWidth="1"/>
    <col min="15" max="15" width="9.140625" style="122" customWidth="1"/>
    <col min="16" max="16" width="9.140625" customWidth="1"/>
    <col min="18" max="19" width="9.140625" customWidth="1"/>
    <col min="21" max="22" width="9.140625" customWidth="1"/>
    <col min="24" max="25" width="9.140625" customWidth="1"/>
    <col min="27" max="28" width="9.140625" customWidth="1"/>
    <col min="29" max="29" width="9.140625" style="122"/>
    <col min="30" max="31" width="9.140625" hidden="1" customWidth="1"/>
    <col min="32" max="32" width="9.140625" style="122"/>
    <col min="33" max="34" width="9.140625" style="122" hidden="1" customWidth="1"/>
    <col min="35" max="35" width="9.140625" style="122"/>
    <col min="36" max="37" width="9.140625" hidden="1" customWidth="1"/>
    <col min="39" max="40" width="9.140625" hidden="1" customWidth="1"/>
    <col min="41" max="41" width="9.140625" style="122"/>
    <col min="42" max="43" width="9.140625" hidden="1" customWidth="1"/>
    <col min="44" max="44" width="9.140625" style="125"/>
    <col min="45" max="45" width="10.42578125" hidden="1" customWidth="1"/>
    <col min="46" max="46" width="9.140625" hidden="1" customWidth="1"/>
    <col min="47" max="47" width="48.7109375" style="130" customWidth="1"/>
    <col min="48" max="48" width="44.7109375" customWidth="1"/>
  </cols>
  <sheetData>
    <row r="1" spans="1:50" s="31" customFormat="1" ht="20.25" customHeight="1">
      <c r="A1" s="145"/>
      <c r="B1" s="145"/>
      <c r="C1" s="145"/>
      <c r="D1" s="145"/>
      <c r="E1" s="29"/>
      <c r="F1" s="29"/>
      <c r="G1" s="29"/>
      <c r="H1" s="29"/>
      <c r="I1" s="29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S1" s="145"/>
      <c r="AT1" s="145"/>
      <c r="AU1" s="145"/>
    </row>
    <row r="2" spans="1:50" s="118" customFormat="1" ht="40.5" customHeight="1">
      <c r="A2" s="235" t="s">
        <v>415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139"/>
    </row>
    <row r="3" spans="1:50" s="118" customFormat="1" ht="10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140"/>
    </row>
    <row r="4" spans="1:50" s="31" customFormat="1" ht="30" customHeight="1">
      <c r="A4" s="30"/>
      <c r="B4" s="145"/>
      <c r="C4" s="145"/>
      <c r="D4" s="145"/>
      <c r="E4" s="29"/>
      <c r="F4" s="29"/>
      <c r="G4" s="29"/>
      <c r="H4" s="29"/>
      <c r="I4" s="29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02"/>
      <c r="AS4" s="102"/>
      <c r="AT4" s="102"/>
      <c r="AU4" s="102"/>
    </row>
    <row r="5" spans="1:50" s="31" customFormat="1" ht="41.25" customHeight="1">
      <c r="A5" s="234" t="s">
        <v>0</v>
      </c>
      <c r="B5" s="234" t="s">
        <v>297</v>
      </c>
      <c r="C5" s="274" t="s">
        <v>47</v>
      </c>
      <c r="D5" s="274" t="s">
        <v>298</v>
      </c>
      <c r="E5" s="234" t="s">
        <v>1</v>
      </c>
      <c r="F5" s="234" t="s">
        <v>299</v>
      </c>
      <c r="G5" s="234"/>
      <c r="H5" s="234"/>
      <c r="I5" s="234"/>
      <c r="J5" s="234"/>
      <c r="K5" s="234" t="s">
        <v>18</v>
      </c>
      <c r="L5" s="234"/>
      <c r="M5" s="234"/>
      <c r="N5" s="234" t="s">
        <v>19</v>
      </c>
      <c r="O5" s="234"/>
      <c r="P5" s="234"/>
      <c r="Q5" s="234" t="s">
        <v>23</v>
      </c>
      <c r="R5" s="234"/>
      <c r="S5" s="234"/>
      <c r="T5" s="234" t="s">
        <v>25</v>
      </c>
      <c r="U5" s="234"/>
      <c r="V5" s="234"/>
      <c r="W5" s="234" t="s">
        <v>26</v>
      </c>
      <c r="X5" s="234"/>
      <c r="Y5" s="234"/>
      <c r="Z5" s="234" t="s">
        <v>27</v>
      </c>
      <c r="AA5" s="234"/>
      <c r="AB5" s="234"/>
      <c r="AC5" s="234" t="s">
        <v>29</v>
      </c>
      <c r="AD5" s="234"/>
      <c r="AE5" s="234"/>
      <c r="AF5" s="234" t="s">
        <v>30</v>
      </c>
      <c r="AG5" s="234"/>
      <c r="AH5" s="234"/>
      <c r="AI5" s="234" t="s">
        <v>31</v>
      </c>
      <c r="AJ5" s="234"/>
      <c r="AK5" s="234"/>
      <c r="AL5" s="234" t="s">
        <v>33</v>
      </c>
      <c r="AM5" s="234"/>
      <c r="AN5" s="234"/>
      <c r="AO5" s="234" t="s">
        <v>34</v>
      </c>
      <c r="AP5" s="234"/>
      <c r="AQ5" s="234"/>
      <c r="AR5" s="234" t="s">
        <v>35</v>
      </c>
      <c r="AS5" s="234"/>
      <c r="AT5" s="234"/>
      <c r="AU5" s="250" t="s">
        <v>324</v>
      </c>
      <c r="AV5" s="246" t="s">
        <v>325</v>
      </c>
      <c r="AW5" s="32"/>
      <c r="AX5" s="32"/>
    </row>
    <row r="6" spans="1:50" s="31" customFormat="1" ht="24.75" customHeight="1">
      <c r="A6" s="234"/>
      <c r="B6" s="234"/>
      <c r="C6" s="275"/>
      <c r="D6" s="275"/>
      <c r="E6" s="234"/>
      <c r="F6" s="147" t="s">
        <v>300</v>
      </c>
      <c r="G6" s="147" t="s">
        <v>323</v>
      </c>
      <c r="H6" s="147" t="s">
        <v>301</v>
      </c>
      <c r="I6" s="147" t="s">
        <v>323</v>
      </c>
      <c r="J6" s="128" t="s">
        <v>302</v>
      </c>
      <c r="K6" s="147" t="s">
        <v>300</v>
      </c>
      <c r="L6" s="147" t="s">
        <v>301</v>
      </c>
      <c r="M6" s="128" t="s">
        <v>302</v>
      </c>
      <c r="N6" s="147" t="s">
        <v>300</v>
      </c>
      <c r="O6" s="147" t="s">
        <v>301</v>
      </c>
      <c r="P6" s="128" t="s">
        <v>302</v>
      </c>
      <c r="Q6" s="147" t="s">
        <v>300</v>
      </c>
      <c r="R6" s="147" t="s">
        <v>301</v>
      </c>
      <c r="S6" s="128" t="s">
        <v>302</v>
      </c>
      <c r="T6" s="147" t="s">
        <v>300</v>
      </c>
      <c r="U6" s="147" t="s">
        <v>301</v>
      </c>
      <c r="V6" s="128" t="s">
        <v>302</v>
      </c>
      <c r="W6" s="147" t="s">
        <v>300</v>
      </c>
      <c r="X6" s="147" t="s">
        <v>301</v>
      </c>
      <c r="Y6" s="128" t="s">
        <v>302</v>
      </c>
      <c r="Z6" s="147" t="s">
        <v>300</v>
      </c>
      <c r="AA6" s="147" t="s">
        <v>301</v>
      </c>
      <c r="AB6" s="128" t="s">
        <v>302</v>
      </c>
      <c r="AC6" s="147" t="s">
        <v>300</v>
      </c>
      <c r="AD6" s="147" t="s">
        <v>301</v>
      </c>
      <c r="AE6" s="128" t="s">
        <v>302</v>
      </c>
      <c r="AF6" s="147" t="s">
        <v>300</v>
      </c>
      <c r="AG6" s="147" t="s">
        <v>301</v>
      </c>
      <c r="AH6" s="128" t="s">
        <v>302</v>
      </c>
      <c r="AI6" s="147" t="s">
        <v>300</v>
      </c>
      <c r="AJ6" s="147" t="s">
        <v>301</v>
      </c>
      <c r="AK6" s="128" t="s">
        <v>302</v>
      </c>
      <c r="AL6" s="147" t="s">
        <v>300</v>
      </c>
      <c r="AM6" s="147" t="s">
        <v>301</v>
      </c>
      <c r="AN6" s="128" t="s">
        <v>302</v>
      </c>
      <c r="AO6" s="147" t="s">
        <v>300</v>
      </c>
      <c r="AP6" s="147" t="s">
        <v>301</v>
      </c>
      <c r="AQ6" s="128" t="s">
        <v>302</v>
      </c>
      <c r="AR6" s="147" t="s">
        <v>300</v>
      </c>
      <c r="AS6" s="147" t="s">
        <v>301</v>
      </c>
      <c r="AT6" s="128" t="s">
        <v>302</v>
      </c>
      <c r="AU6" s="250"/>
      <c r="AV6" s="246"/>
    </row>
    <row r="7" spans="1:50" s="31" customFormat="1" ht="24.75" customHeight="1">
      <c r="A7" s="288" t="s">
        <v>419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90"/>
    </row>
    <row r="8" spans="1:50" s="31" customFormat="1" ht="24.75" customHeight="1">
      <c r="A8" s="288" t="s">
        <v>420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0"/>
    </row>
    <row r="9" spans="1:50" s="100" customFormat="1" ht="12.75" customHeight="1">
      <c r="A9" s="291" t="s">
        <v>303</v>
      </c>
      <c r="B9" s="292"/>
      <c r="C9" s="292"/>
      <c r="D9" s="293"/>
      <c r="E9" s="129" t="s">
        <v>42</v>
      </c>
      <c r="F9" s="106">
        <f>F10+F11+F12</f>
        <v>400002.09999999992</v>
      </c>
      <c r="G9" s="106">
        <f>K9+N9+Q9+T9+W9+Z9</f>
        <v>187379.7</v>
      </c>
      <c r="H9" s="106">
        <f t="shared" ref="H9:AR9" si="0">H10+H11+H12</f>
        <v>177810.4</v>
      </c>
      <c r="I9" s="106">
        <f>L9+O9+R9+U9</f>
        <v>116238.70000000001</v>
      </c>
      <c r="J9" s="106">
        <f>H9/F9*100</f>
        <v>44.452366625075221</v>
      </c>
      <c r="K9" s="106">
        <f t="shared" si="0"/>
        <v>7166.1999999999944</v>
      </c>
      <c r="L9" s="106">
        <f t="shared" si="0"/>
        <v>5631.5000000000009</v>
      </c>
      <c r="M9" s="106">
        <f>L9/K9*100</f>
        <v>78.584186877285106</v>
      </c>
      <c r="N9" s="106">
        <f t="shared" si="0"/>
        <v>44955.799999999996</v>
      </c>
      <c r="O9" s="106">
        <f t="shared" si="0"/>
        <v>42423.100000000006</v>
      </c>
      <c r="P9" s="106">
        <f>O9/N9*100</f>
        <v>94.366244177614476</v>
      </c>
      <c r="Q9" s="106">
        <f t="shared" si="0"/>
        <v>33611.599999999999</v>
      </c>
      <c r="R9" s="106">
        <f t="shared" si="0"/>
        <v>32189.800000000003</v>
      </c>
      <c r="S9" s="106">
        <f>R9/Q9*100</f>
        <v>95.769912768210986</v>
      </c>
      <c r="T9" s="106">
        <f t="shared" si="0"/>
        <v>36813.699999999997</v>
      </c>
      <c r="U9" s="106">
        <f t="shared" si="0"/>
        <v>35994.300000000003</v>
      </c>
      <c r="V9" s="106">
        <f>U9/T9*100</f>
        <v>97.774198192520728</v>
      </c>
      <c r="W9" s="106">
        <f t="shared" si="0"/>
        <v>31950.699999999997</v>
      </c>
      <c r="X9" s="106">
        <f t="shared" si="0"/>
        <v>30877.7</v>
      </c>
      <c r="Y9" s="106">
        <f>X9/W9*100</f>
        <v>96.641701120789222</v>
      </c>
      <c r="Z9" s="106">
        <f t="shared" si="0"/>
        <v>32881.700000000004</v>
      </c>
      <c r="AA9" s="106">
        <f t="shared" si="0"/>
        <v>30694</v>
      </c>
      <c r="AB9" s="106">
        <f t="shared" si="0"/>
        <v>1041.7667366190058</v>
      </c>
      <c r="AC9" s="106">
        <f t="shared" si="0"/>
        <v>43484.499999999993</v>
      </c>
      <c r="AD9" s="106">
        <f t="shared" si="0"/>
        <v>0</v>
      </c>
      <c r="AE9" s="106">
        <f t="shared" si="0"/>
        <v>0</v>
      </c>
      <c r="AF9" s="106">
        <f t="shared" si="0"/>
        <v>35556.199999999997</v>
      </c>
      <c r="AG9" s="106">
        <f t="shared" si="0"/>
        <v>0</v>
      </c>
      <c r="AH9" s="106">
        <f t="shared" si="0"/>
        <v>0</v>
      </c>
      <c r="AI9" s="106">
        <f t="shared" si="0"/>
        <v>28643.200000000001</v>
      </c>
      <c r="AJ9" s="106">
        <f t="shared" si="0"/>
        <v>0</v>
      </c>
      <c r="AK9" s="106">
        <f t="shared" si="0"/>
        <v>0</v>
      </c>
      <c r="AL9" s="106">
        <f t="shared" si="0"/>
        <v>33031.1</v>
      </c>
      <c r="AM9" s="106">
        <f t="shared" si="0"/>
        <v>0</v>
      </c>
      <c r="AN9" s="106">
        <f t="shared" si="0"/>
        <v>0</v>
      </c>
      <c r="AO9" s="106">
        <f t="shared" si="0"/>
        <v>23681.1</v>
      </c>
      <c r="AP9" s="106">
        <f t="shared" si="0"/>
        <v>0</v>
      </c>
      <c r="AQ9" s="106">
        <f t="shared" si="0"/>
        <v>0</v>
      </c>
      <c r="AR9" s="106">
        <f t="shared" si="0"/>
        <v>48226.3</v>
      </c>
      <c r="AS9" s="106">
        <f t="shared" ref="AS9:AT9" si="1">AS49+AS57</f>
        <v>0</v>
      </c>
      <c r="AT9" s="106">
        <f t="shared" si="1"/>
        <v>0</v>
      </c>
      <c r="AU9" s="243"/>
      <c r="AV9" s="247"/>
      <c r="AW9" s="127"/>
    </row>
    <row r="10" spans="1:50" s="100" customFormat="1" ht="36">
      <c r="A10" s="294"/>
      <c r="B10" s="295"/>
      <c r="C10" s="295"/>
      <c r="D10" s="296"/>
      <c r="E10" s="111" t="s">
        <v>3</v>
      </c>
      <c r="F10" s="106">
        <f>F14+F18+F22+F26+F34+F38+F42+F46+F50+F54+F58+F74+F78+F82</f>
        <v>101401.59999999999</v>
      </c>
      <c r="G10" s="106">
        <f t="shared" ref="G10:G11" si="2">K10+N10+Q10+T10+W10+Z10</f>
        <v>39671.4</v>
      </c>
      <c r="H10" s="106">
        <f t="shared" ref="H10:AT12" si="3">H14+H18+H22+H26+H34+H38+H42+H46+H50+H54+H58+H74+H78+H82</f>
        <v>34780.600000000006</v>
      </c>
      <c r="I10" s="106">
        <f t="shared" ref="I10:I12" si="4">L10+O10+R10+U10</f>
        <v>21799.5</v>
      </c>
      <c r="J10" s="106">
        <f>H10/F10*100</f>
        <v>34.299853256753352</v>
      </c>
      <c r="K10" s="106">
        <f t="shared" si="3"/>
        <v>793.1</v>
      </c>
      <c r="L10" s="106">
        <f t="shared" si="3"/>
        <v>695</v>
      </c>
      <c r="M10" s="106">
        <f t="shared" ref="M10:M12" si="5">L10/K10*100</f>
        <v>87.630815786155594</v>
      </c>
      <c r="N10" s="106">
        <f t="shared" si="3"/>
        <v>7659.7</v>
      </c>
      <c r="O10" s="106">
        <f>O14+O18+O22+O26+O34+O38+O42+O46+O50+O54+O58+O74+O78+O82</f>
        <v>7175.9</v>
      </c>
      <c r="P10" s="106">
        <f t="shared" ref="P10:P12" si="6">O10/N10*100</f>
        <v>93.683825737300424</v>
      </c>
      <c r="Q10" s="106">
        <f>Q14+Q18+Q22+Q26+Q34+Q38+Q42+Q46+Q50+Q54+Q58+Q74+Q78+Q82</f>
        <v>7086.6</v>
      </c>
      <c r="R10" s="106">
        <f t="shared" si="3"/>
        <v>6561.5999999999995</v>
      </c>
      <c r="S10" s="106">
        <f t="shared" ref="S10:S12" si="7">R10/Q10*100</f>
        <v>92.591651849970361</v>
      </c>
      <c r="T10" s="106">
        <f t="shared" si="3"/>
        <v>7792.5</v>
      </c>
      <c r="U10" s="106">
        <f t="shared" si="3"/>
        <v>7367</v>
      </c>
      <c r="V10" s="106">
        <f t="shared" ref="V10:V12" si="8">U10/T10*100</f>
        <v>94.539621430863008</v>
      </c>
      <c r="W10" s="106">
        <f t="shared" si="3"/>
        <v>6969.4</v>
      </c>
      <c r="X10" s="106">
        <f t="shared" si="3"/>
        <v>6333.4000000000005</v>
      </c>
      <c r="Y10" s="106">
        <f t="shared" ref="Y10:Y12" si="9">X10/W10*100</f>
        <v>90.874393778517543</v>
      </c>
      <c r="Z10" s="106">
        <f t="shared" si="3"/>
        <v>9370.1</v>
      </c>
      <c r="AA10" s="106">
        <f t="shared" si="3"/>
        <v>6647.7</v>
      </c>
      <c r="AB10" s="106">
        <f t="shared" si="3"/>
        <v>503.2488638054636</v>
      </c>
      <c r="AC10" s="106">
        <f t="shared" si="3"/>
        <v>9800.7000000000007</v>
      </c>
      <c r="AD10" s="106">
        <f t="shared" si="3"/>
        <v>0</v>
      </c>
      <c r="AE10" s="106">
        <f t="shared" si="3"/>
        <v>0</v>
      </c>
      <c r="AF10" s="106">
        <f t="shared" si="3"/>
        <v>9722.4</v>
      </c>
      <c r="AG10" s="106">
        <f t="shared" si="3"/>
        <v>0</v>
      </c>
      <c r="AH10" s="106">
        <f t="shared" si="3"/>
        <v>0</v>
      </c>
      <c r="AI10" s="106">
        <f t="shared" si="3"/>
        <v>6790.2</v>
      </c>
      <c r="AJ10" s="106">
        <f t="shared" si="3"/>
        <v>0</v>
      </c>
      <c r="AK10" s="106">
        <f t="shared" si="3"/>
        <v>0</v>
      </c>
      <c r="AL10" s="106">
        <f t="shared" si="3"/>
        <v>8271.5999999999985</v>
      </c>
      <c r="AM10" s="106">
        <f t="shared" si="3"/>
        <v>0</v>
      </c>
      <c r="AN10" s="106">
        <f t="shared" si="3"/>
        <v>0</v>
      </c>
      <c r="AO10" s="106">
        <f t="shared" si="3"/>
        <v>6584</v>
      </c>
      <c r="AP10" s="106">
        <f t="shared" si="3"/>
        <v>0</v>
      </c>
      <c r="AQ10" s="106">
        <f t="shared" si="3"/>
        <v>0</v>
      </c>
      <c r="AR10" s="106">
        <f t="shared" si="3"/>
        <v>20561.3</v>
      </c>
      <c r="AS10" s="106">
        <f t="shared" si="3"/>
        <v>0</v>
      </c>
      <c r="AT10" s="106">
        <f t="shared" si="3"/>
        <v>0</v>
      </c>
      <c r="AU10" s="244"/>
      <c r="AV10" s="248"/>
      <c r="AW10" s="127"/>
    </row>
    <row r="11" spans="1:50" s="100" customFormat="1" ht="24">
      <c r="A11" s="294"/>
      <c r="B11" s="295"/>
      <c r="C11" s="295"/>
      <c r="D11" s="296"/>
      <c r="E11" s="111" t="s">
        <v>44</v>
      </c>
      <c r="F11" s="106">
        <f>F15+F19+F23+F27+F35+F39+F43+F47+F51+F55+F59+F75+F79+F83</f>
        <v>293553.29999999993</v>
      </c>
      <c r="G11" s="106">
        <f t="shared" si="2"/>
        <v>145365.89999999997</v>
      </c>
      <c r="H11" s="106">
        <f t="shared" si="3"/>
        <v>141361.5</v>
      </c>
      <c r="I11" s="106">
        <f t="shared" si="4"/>
        <v>93296.900000000009</v>
      </c>
      <c r="J11" s="106">
        <f t="shared" ref="J11:J12" si="10">H11/F11*100</f>
        <v>48.155309444656233</v>
      </c>
      <c r="K11" s="106">
        <f t="shared" si="3"/>
        <v>6339.599999999994</v>
      </c>
      <c r="L11" s="106">
        <f t="shared" si="3"/>
        <v>4936.5000000000009</v>
      </c>
      <c r="M11" s="106">
        <f t="shared" si="5"/>
        <v>77.867688813174425</v>
      </c>
      <c r="N11" s="106">
        <f t="shared" si="3"/>
        <v>37033.799999999996</v>
      </c>
      <c r="O11" s="106">
        <f t="shared" si="3"/>
        <v>35073.300000000003</v>
      </c>
      <c r="P11" s="106">
        <f t="shared" si="6"/>
        <v>94.706187320771846</v>
      </c>
      <c r="Q11" s="106">
        <f t="shared" si="3"/>
        <v>25896.499999999996</v>
      </c>
      <c r="R11" s="106">
        <f t="shared" si="3"/>
        <v>25187.300000000003</v>
      </c>
      <c r="S11" s="106">
        <f t="shared" si="7"/>
        <v>97.261405981503316</v>
      </c>
      <c r="T11" s="106">
        <f t="shared" si="3"/>
        <v>28356.299999999996</v>
      </c>
      <c r="U11" s="106">
        <f t="shared" si="3"/>
        <v>28099.800000000003</v>
      </c>
      <c r="V11" s="106">
        <f t="shared" si="8"/>
        <v>99.095439108769497</v>
      </c>
      <c r="W11" s="106">
        <f t="shared" si="3"/>
        <v>24545.399999999994</v>
      </c>
      <c r="X11" s="106">
        <f t="shared" si="3"/>
        <v>24218.399999999998</v>
      </c>
      <c r="Y11" s="106">
        <f t="shared" si="9"/>
        <v>98.66777481727739</v>
      </c>
      <c r="Z11" s="106">
        <f t="shared" si="3"/>
        <v>23194.3</v>
      </c>
      <c r="AA11" s="106">
        <f t="shared" si="3"/>
        <v>23846.2</v>
      </c>
      <c r="AB11" s="106">
        <f t="shared" si="3"/>
        <v>475.45452582331211</v>
      </c>
      <c r="AC11" s="106">
        <f t="shared" si="3"/>
        <v>33068.899999999994</v>
      </c>
      <c r="AD11" s="106">
        <f t="shared" si="3"/>
        <v>0</v>
      </c>
      <c r="AE11" s="106">
        <f t="shared" si="3"/>
        <v>0</v>
      </c>
      <c r="AF11" s="106">
        <f t="shared" si="3"/>
        <v>25306.3</v>
      </c>
      <c r="AG11" s="106">
        <f t="shared" si="3"/>
        <v>0</v>
      </c>
      <c r="AH11" s="106">
        <f t="shared" si="3"/>
        <v>0</v>
      </c>
      <c r="AI11" s="106">
        <f t="shared" si="3"/>
        <v>21571.4</v>
      </c>
      <c r="AJ11" s="106">
        <f t="shared" si="3"/>
        <v>0</v>
      </c>
      <c r="AK11" s="106">
        <f t="shared" si="3"/>
        <v>0</v>
      </c>
      <c r="AL11" s="106">
        <f t="shared" si="3"/>
        <v>24234.6</v>
      </c>
      <c r="AM11" s="106">
        <f t="shared" si="3"/>
        <v>0</v>
      </c>
      <c r="AN11" s="106">
        <f t="shared" si="3"/>
        <v>0</v>
      </c>
      <c r="AO11" s="106">
        <f t="shared" si="3"/>
        <v>16737.199999999997</v>
      </c>
      <c r="AP11" s="106">
        <f t="shared" si="3"/>
        <v>0</v>
      </c>
      <c r="AQ11" s="106">
        <f t="shared" si="3"/>
        <v>0</v>
      </c>
      <c r="AR11" s="106">
        <f t="shared" si="3"/>
        <v>27269</v>
      </c>
      <c r="AS11" s="106">
        <f t="shared" si="3"/>
        <v>0</v>
      </c>
      <c r="AT11" s="106">
        <f t="shared" si="3"/>
        <v>0</v>
      </c>
      <c r="AU11" s="244"/>
      <c r="AV11" s="248"/>
      <c r="AW11" s="127"/>
    </row>
    <row r="12" spans="1:50" s="100" customFormat="1" ht="24">
      <c r="A12" s="297"/>
      <c r="B12" s="298"/>
      <c r="C12" s="298"/>
      <c r="D12" s="299"/>
      <c r="E12" s="110" t="s">
        <v>275</v>
      </c>
      <c r="F12" s="106">
        <f>F16+F20+F24+F28+F36+F40+F44+F48+F52+F56+F60+F76+F80+F84+F32</f>
        <v>5047.2</v>
      </c>
      <c r="G12" s="106">
        <f t="shared" ref="G12:H12" si="11">G16+G20+G24+G28+G36+G40+G44+G48+G52+G56+G60+G76+G80+G84+G32</f>
        <v>2342.4</v>
      </c>
      <c r="H12" s="106">
        <f t="shared" si="11"/>
        <v>1668.2999999999997</v>
      </c>
      <c r="I12" s="106">
        <f t="shared" si="4"/>
        <v>1142.3</v>
      </c>
      <c r="J12" s="106">
        <f t="shared" si="10"/>
        <v>33.053970518307175</v>
      </c>
      <c r="K12" s="106">
        <f t="shared" ref="K12:L12" si="12">K16+K20+K24+K28+K36+K40+K44+K48+K52+K56+K60+K76+K80+K84+K32</f>
        <v>33.5</v>
      </c>
      <c r="L12" s="106">
        <f t="shared" si="12"/>
        <v>0</v>
      </c>
      <c r="M12" s="106">
        <f t="shared" si="5"/>
        <v>0</v>
      </c>
      <c r="N12" s="106">
        <f t="shared" ref="N12:O12" si="13">N16+N20+N24+N28+N36+N40+N44+N48+N52+N56+N60+N76+N80+N84+N32</f>
        <v>262.3</v>
      </c>
      <c r="O12" s="106">
        <f t="shared" si="13"/>
        <v>173.9</v>
      </c>
      <c r="P12" s="106">
        <f t="shared" si="6"/>
        <v>66.298131910026683</v>
      </c>
      <c r="Q12" s="106">
        <f t="shared" ref="Q12:R12" si="14">Q16+Q20+Q24+Q28+Q36+Q40+Q44+Q48+Q52+Q56+Q60+Q76+Q80+Q84+Q32</f>
        <v>628.5</v>
      </c>
      <c r="R12" s="106">
        <f t="shared" si="14"/>
        <v>440.9</v>
      </c>
      <c r="S12" s="106">
        <f t="shared" si="7"/>
        <v>70.151153540175017</v>
      </c>
      <c r="T12" s="106">
        <f t="shared" ref="T12:U12" si="15">T16+T20+T24+T28+T36+T40+T44+T48+T52+T56+T60+T76+T80+T84+T32</f>
        <v>664.9</v>
      </c>
      <c r="U12" s="106">
        <f t="shared" si="15"/>
        <v>527.5</v>
      </c>
      <c r="V12" s="106">
        <f t="shared" si="8"/>
        <v>79.335238381711534</v>
      </c>
      <c r="W12" s="106">
        <f t="shared" ref="W12:X12" si="16">W16+W20+W24+W28+W36+W40+W44+W48+W52+W56+W60+W76+W80+W84+W32</f>
        <v>435.9</v>
      </c>
      <c r="X12" s="106">
        <f t="shared" si="16"/>
        <v>325.89999999999998</v>
      </c>
      <c r="Y12" s="106">
        <f t="shared" si="9"/>
        <v>74.76485432438632</v>
      </c>
      <c r="Z12" s="106">
        <f t="shared" ref="Z12:AA12" si="17">Z16+Z20+Z24+Z28+Z36+Z40+Z44+Z48+Z52+Z56+Z60+Z76+Z80+Z84+Z32</f>
        <v>317.3</v>
      </c>
      <c r="AA12" s="106">
        <f t="shared" si="17"/>
        <v>200.1</v>
      </c>
      <c r="AB12" s="106">
        <f t="shared" si="3"/>
        <v>63.063346990230059</v>
      </c>
      <c r="AC12" s="106">
        <f t="shared" ref="AC12:AR12" si="18">AC16+AC20+AC24+AC28+AC36+AC40+AC44+AC48+AC52+AC56+AC60+AC76+AC80+AC84+AC32</f>
        <v>614.9</v>
      </c>
      <c r="AD12" s="106">
        <f t="shared" si="18"/>
        <v>0</v>
      </c>
      <c r="AE12" s="106">
        <f t="shared" si="18"/>
        <v>0</v>
      </c>
      <c r="AF12" s="106">
        <f t="shared" si="18"/>
        <v>527.5</v>
      </c>
      <c r="AG12" s="106">
        <f t="shared" si="18"/>
        <v>0</v>
      </c>
      <c r="AH12" s="106">
        <f t="shared" si="18"/>
        <v>0</v>
      </c>
      <c r="AI12" s="106">
        <f t="shared" si="18"/>
        <v>281.60000000000002</v>
      </c>
      <c r="AJ12" s="106">
        <f t="shared" si="18"/>
        <v>0</v>
      </c>
      <c r="AK12" s="106">
        <f t="shared" si="18"/>
        <v>0</v>
      </c>
      <c r="AL12" s="106">
        <f t="shared" si="18"/>
        <v>524.9</v>
      </c>
      <c r="AM12" s="106">
        <f t="shared" si="18"/>
        <v>0</v>
      </c>
      <c r="AN12" s="106">
        <f t="shared" si="18"/>
        <v>0</v>
      </c>
      <c r="AO12" s="106">
        <f t="shared" si="18"/>
        <v>359.9</v>
      </c>
      <c r="AP12" s="106">
        <f t="shared" si="18"/>
        <v>0</v>
      </c>
      <c r="AQ12" s="106">
        <f t="shared" si="18"/>
        <v>0</v>
      </c>
      <c r="AR12" s="106">
        <f t="shared" si="18"/>
        <v>396</v>
      </c>
      <c r="AS12" s="106">
        <f t="shared" si="3"/>
        <v>0</v>
      </c>
      <c r="AT12" s="106">
        <f t="shared" si="3"/>
        <v>0</v>
      </c>
      <c r="AU12" s="245"/>
      <c r="AV12" s="249"/>
      <c r="AW12" s="127"/>
    </row>
    <row r="13" spans="1:50" s="31" customFormat="1" ht="31.5" customHeight="1">
      <c r="A13" s="222" t="s">
        <v>2</v>
      </c>
      <c r="B13" s="223" t="s">
        <v>292</v>
      </c>
      <c r="C13" s="227" t="s">
        <v>304</v>
      </c>
      <c r="D13" s="227" t="s">
        <v>326</v>
      </c>
      <c r="E13" s="107" t="s">
        <v>42</v>
      </c>
      <c r="F13" s="123">
        <f>SUM(F14:F16)</f>
        <v>202875.89999999997</v>
      </c>
      <c r="G13" s="123">
        <f>K13+N13+Q13+T13+W13+Z13</f>
        <v>102099.19999999998</v>
      </c>
      <c r="H13" s="123">
        <f t="shared" ref="H13:R13" si="19">SUM(H14:H16)</f>
        <v>99159.5</v>
      </c>
      <c r="I13" s="123">
        <f>L13+O13+R13+U13</f>
        <v>67036.7</v>
      </c>
      <c r="J13" s="123">
        <f>H13/F13*100</f>
        <v>48.876924267495561</v>
      </c>
      <c r="K13" s="123">
        <f t="shared" si="19"/>
        <v>4589.3999999999942</v>
      </c>
      <c r="L13" s="123">
        <f t="shared" si="19"/>
        <v>3436.3</v>
      </c>
      <c r="M13" s="123">
        <f t="shared" si="19"/>
        <v>74.874711291236423</v>
      </c>
      <c r="N13" s="123">
        <f t="shared" si="19"/>
        <v>26796.6</v>
      </c>
      <c r="O13" s="123">
        <f t="shared" si="19"/>
        <v>24829.8</v>
      </c>
      <c r="P13" s="123">
        <f>O13/N13*100</f>
        <v>92.660262869169969</v>
      </c>
      <c r="Q13" s="123">
        <f t="shared" si="19"/>
        <v>17968.799999999996</v>
      </c>
      <c r="R13" s="123">
        <f t="shared" si="19"/>
        <v>17393.900000000001</v>
      </c>
      <c r="S13" s="123">
        <f>R13/Q13*100</f>
        <v>96.800565424513636</v>
      </c>
      <c r="T13" s="123">
        <f t="shared" ref="T13:AD13" si="20">SUM(T14:T16)</f>
        <v>21394.199999999997</v>
      </c>
      <c r="U13" s="123">
        <f t="shared" si="20"/>
        <v>21376.7</v>
      </c>
      <c r="V13" s="123">
        <f>U13/T13*100</f>
        <v>99.918202129549144</v>
      </c>
      <c r="W13" s="123">
        <f t="shared" si="20"/>
        <v>16277.799999999996</v>
      </c>
      <c r="X13" s="123">
        <f t="shared" si="20"/>
        <v>16137.1</v>
      </c>
      <c r="Y13" s="123">
        <f>X13/W13*100</f>
        <v>99.13563257934122</v>
      </c>
      <c r="Z13" s="123">
        <f t="shared" si="20"/>
        <v>15072.4</v>
      </c>
      <c r="AA13" s="123">
        <f t="shared" si="20"/>
        <v>15985.7</v>
      </c>
      <c r="AB13" s="123">
        <f t="shared" si="20"/>
        <v>106.05941986677637</v>
      </c>
      <c r="AC13" s="104">
        <f t="shared" si="20"/>
        <v>24596.699999999997</v>
      </c>
      <c r="AD13" s="123">
        <f t="shared" si="20"/>
        <v>0</v>
      </c>
      <c r="AE13" s="123">
        <f>SUM(AE14:AE16)</f>
        <v>0</v>
      </c>
      <c r="AF13" s="104">
        <f t="shared" ref="AF13:AT13" si="21">SUM(AF14:AF16)</f>
        <v>18804.599999999999</v>
      </c>
      <c r="AG13" s="104">
        <f t="shared" si="21"/>
        <v>0</v>
      </c>
      <c r="AH13" s="104">
        <f t="shared" si="21"/>
        <v>0</v>
      </c>
      <c r="AI13" s="104">
        <f t="shared" si="21"/>
        <v>15043.5</v>
      </c>
      <c r="AJ13" s="123">
        <f t="shared" si="21"/>
        <v>0</v>
      </c>
      <c r="AK13" s="123">
        <f t="shared" si="21"/>
        <v>0</v>
      </c>
      <c r="AL13" s="123">
        <f t="shared" si="21"/>
        <v>18565.399999999998</v>
      </c>
      <c r="AM13" s="123">
        <f t="shared" si="21"/>
        <v>0</v>
      </c>
      <c r="AN13" s="123">
        <f t="shared" si="21"/>
        <v>0</v>
      </c>
      <c r="AO13" s="104">
        <f t="shared" si="21"/>
        <v>11579.199999999997</v>
      </c>
      <c r="AP13" s="123">
        <f t="shared" si="21"/>
        <v>0</v>
      </c>
      <c r="AQ13" s="123">
        <f t="shared" si="21"/>
        <v>0</v>
      </c>
      <c r="AR13" s="104">
        <f t="shared" si="21"/>
        <v>12187.300000000001</v>
      </c>
      <c r="AS13" s="123">
        <f t="shared" si="21"/>
        <v>0</v>
      </c>
      <c r="AT13" s="123">
        <f t="shared" si="21"/>
        <v>0</v>
      </c>
      <c r="AU13" s="282" t="s">
        <v>416</v>
      </c>
      <c r="AV13" s="285" t="s">
        <v>417</v>
      </c>
    </row>
    <row r="14" spans="1:50" s="31" customFormat="1" ht="53.25" customHeight="1">
      <c r="A14" s="222"/>
      <c r="B14" s="223"/>
      <c r="C14" s="228"/>
      <c r="D14" s="228"/>
      <c r="E14" s="108" t="s">
        <v>3</v>
      </c>
      <c r="F14" s="123">
        <f>K14+N14+Q14+T14+W14+Z14+AC14+AF14+AI14+AL14+AO14+AR14</f>
        <v>0</v>
      </c>
      <c r="G14" s="123">
        <f t="shared" ref="G14:G77" si="22">K14+N14+Q14+T14+W14+Z14</f>
        <v>0</v>
      </c>
      <c r="H14" s="123">
        <f>L14+O14+R14+U14+X14+AA14+AD14+AG14+AJ14+AM14+AP14+AS14</f>
        <v>0</v>
      </c>
      <c r="I14" s="123">
        <f t="shared" ref="I14:I77" si="23">L14+O14+R14+U14</f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23">
        <v>0</v>
      </c>
      <c r="AD14" s="123">
        <v>0</v>
      </c>
      <c r="AE14" s="123">
        <v>0</v>
      </c>
      <c r="AF14" s="117">
        <v>0</v>
      </c>
      <c r="AG14" s="117">
        <v>0</v>
      </c>
      <c r="AH14" s="117">
        <v>0</v>
      </c>
      <c r="AI14" s="117">
        <v>0</v>
      </c>
      <c r="AJ14" s="117"/>
      <c r="AK14" s="117"/>
      <c r="AL14" s="123">
        <v>0</v>
      </c>
      <c r="AM14" s="123">
        <v>0</v>
      </c>
      <c r="AN14" s="123">
        <v>0</v>
      </c>
      <c r="AO14" s="117">
        <v>0</v>
      </c>
      <c r="AP14" s="117">
        <v>0</v>
      </c>
      <c r="AQ14" s="117">
        <v>0</v>
      </c>
      <c r="AR14" s="117">
        <v>0</v>
      </c>
      <c r="AS14" s="123"/>
      <c r="AT14" s="123"/>
      <c r="AU14" s="283"/>
      <c r="AV14" s="286"/>
    </row>
    <row r="15" spans="1:50" s="31" customFormat="1" ht="46.5" customHeight="1">
      <c r="A15" s="222"/>
      <c r="B15" s="223"/>
      <c r="C15" s="228"/>
      <c r="D15" s="228"/>
      <c r="E15" s="108" t="s">
        <v>44</v>
      </c>
      <c r="F15" s="123">
        <f t="shared" ref="F15:F16" si="24">K15+N15+Q15+T15+W15+Z15+AC15+AF15+AI15+AL15+AO15+AR15</f>
        <v>202875.89999999997</v>
      </c>
      <c r="G15" s="123">
        <f t="shared" si="22"/>
        <v>102099.19999999998</v>
      </c>
      <c r="H15" s="123">
        <f t="shared" ref="H15:H16" si="25">L15+O15+R15+U15+X15+AA15+AD15+AG15+AJ15+AM15+AP15+AS15</f>
        <v>99159.5</v>
      </c>
      <c r="I15" s="123">
        <f t="shared" si="23"/>
        <v>67036.7</v>
      </c>
      <c r="J15" s="123">
        <f>H15/F15*100</f>
        <v>48.876924267495561</v>
      </c>
      <c r="K15" s="123">
        <f>17250.5+130.6+2.1+20+15.3+4.3-833.4-2000-8000-2000</f>
        <v>4589.3999999999942</v>
      </c>
      <c r="L15" s="123">
        <f>3636.3-200</f>
        <v>3436.3</v>
      </c>
      <c r="M15" s="123">
        <f>L15/K15*100</f>
        <v>74.874711291236423</v>
      </c>
      <c r="N15" s="123">
        <f>15586.3+20.9+5+40+83.3+20+25+4.3+12+18+9+10+25.3+40+15+60+79.1+200+100+443.4+8000+2000</f>
        <v>26796.6</v>
      </c>
      <c r="O15" s="123">
        <f>24629.8+200</f>
        <v>24829.8</v>
      </c>
      <c r="P15" s="123">
        <f t="shared" ref="P15:P78" si="26">O15/N15*100</f>
        <v>92.660262869169969</v>
      </c>
      <c r="Q15" s="123">
        <f>13996+120.8+843.1+83.3+20+25+4.3+90+100+100+100+20+10+100+150+10-3.7+200+2000</f>
        <v>17968.799999999996</v>
      </c>
      <c r="R15" s="123">
        <v>17393.900000000001</v>
      </c>
      <c r="S15" s="123">
        <f t="shared" ref="S15:S78" si="27">R15/Q15*100</f>
        <v>96.800565424513636</v>
      </c>
      <c r="T15" s="123">
        <f>22111+20.8+843.1+7+83.3+20+25+44.2+2.1+20+15.3+30+10+100+100-2385.5-2.1+500-150</f>
        <v>21394.199999999997</v>
      </c>
      <c r="U15" s="123">
        <v>21376.7</v>
      </c>
      <c r="V15" s="123">
        <f t="shared" ref="V15:V78" si="28">U15/T15*100</f>
        <v>99.918202129549144</v>
      </c>
      <c r="W15" s="117">
        <f>16141.5+784+20.8+100+843.1+30+83.3+20+25+216+59+30+10+55+100+100+310.1-500-2000-150</f>
        <v>16277.799999999996</v>
      </c>
      <c r="X15" s="117">
        <v>16137.1</v>
      </c>
      <c r="Y15" s="123">
        <f t="shared" ref="Y15" si="29">X15/W15*100</f>
        <v>99.13563257934122</v>
      </c>
      <c r="Z15" s="117">
        <f>14239.4+120.9+61.5+100+843.1+83.3+20+25+50+100+40+15+75+120+100+10+30+189.5-436.9-3013.4+2000+150+150</f>
        <v>15072.4</v>
      </c>
      <c r="AA15" s="117">
        <v>15985.7</v>
      </c>
      <c r="AB15" s="117">
        <f>AA15/Z15*100</f>
        <v>106.05941986677637</v>
      </c>
      <c r="AC15" s="105">
        <f>25756.8+20.8+843.1+83.3+20+25+44.2+2.1+20+15.3+40+10+100+100-2481.8-2.1</f>
        <v>24596.699999999997</v>
      </c>
      <c r="AD15" s="117">
        <v>0</v>
      </c>
      <c r="AE15" s="117">
        <v>0</v>
      </c>
      <c r="AF15" s="105">
        <f>16558.3+618.2+220.8+16+843.1+83.3+20+25+69.9+40+10+100+100+100</f>
        <v>18804.599999999999</v>
      </c>
      <c r="AG15" s="105">
        <v>0</v>
      </c>
      <c r="AH15" s="105">
        <v>0</v>
      </c>
      <c r="AI15" s="105">
        <f>10270.8+120.9+843.1+83.3+20+25+100+40+15+100+100+12+100+200.1+3013.3</f>
        <v>15043.5</v>
      </c>
      <c r="AJ15" s="117">
        <v>0</v>
      </c>
      <c r="AK15" s="117">
        <v>0</v>
      </c>
      <c r="AL15" s="123">
        <f>18439.5+20.8+843.1+83.3+20+25+2.1+20+15.3+40+10+100+100-1151.6-2.1</f>
        <v>18565.399999999998</v>
      </c>
      <c r="AM15" s="123">
        <v>0</v>
      </c>
      <c r="AN15" s="123">
        <v>0</v>
      </c>
      <c r="AO15" s="105">
        <f>9980.5+140.8+105.9+57.3+843.1+83.3+20+25+133.3+40+10+40+100</f>
        <v>11579.199999999997</v>
      </c>
      <c r="AP15" s="117">
        <v>0</v>
      </c>
      <c r="AQ15" s="117">
        <v>0</v>
      </c>
      <c r="AR15" s="104">
        <f>15754.9+194.5+61.5+448.3+843.1+19.7+7+166.6+40+50+100+99.6+140+35+160+150+18+189.5+356.9-1151.6-0.1-6.5-200-5289.1</f>
        <v>12187.300000000001</v>
      </c>
      <c r="AS15" s="123"/>
      <c r="AT15" s="123"/>
      <c r="AU15" s="283"/>
      <c r="AV15" s="286"/>
    </row>
    <row r="16" spans="1:50" s="31" customFormat="1" ht="61.5" customHeight="1">
      <c r="A16" s="222"/>
      <c r="B16" s="223"/>
      <c r="C16" s="229"/>
      <c r="D16" s="229"/>
      <c r="E16" s="109" t="s">
        <v>275</v>
      </c>
      <c r="F16" s="123">
        <f t="shared" si="24"/>
        <v>0</v>
      </c>
      <c r="G16" s="123">
        <f t="shared" si="22"/>
        <v>0</v>
      </c>
      <c r="H16" s="123">
        <f t="shared" si="25"/>
        <v>0</v>
      </c>
      <c r="I16" s="123">
        <f t="shared" si="23"/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23">
        <v>0</v>
      </c>
      <c r="AD16" s="123">
        <v>0</v>
      </c>
      <c r="AE16" s="123">
        <v>0</v>
      </c>
      <c r="AF16" s="117">
        <v>0</v>
      </c>
      <c r="AG16" s="117">
        <v>0</v>
      </c>
      <c r="AH16" s="117">
        <v>0</v>
      </c>
      <c r="AI16" s="117">
        <v>0</v>
      </c>
      <c r="AJ16" s="117"/>
      <c r="AK16" s="117"/>
      <c r="AL16" s="123">
        <v>0</v>
      </c>
      <c r="AM16" s="123">
        <v>0</v>
      </c>
      <c r="AN16" s="123">
        <v>0</v>
      </c>
      <c r="AO16" s="117">
        <v>0</v>
      </c>
      <c r="AP16" s="117">
        <v>0</v>
      </c>
      <c r="AQ16" s="117">
        <v>0</v>
      </c>
      <c r="AR16" s="117">
        <v>0</v>
      </c>
      <c r="AS16" s="123"/>
      <c r="AT16" s="123"/>
      <c r="AU16" s="284"/>
      <c r="AV16" s="287"/>
    </row>
    <row r="17" spans="1:48" s="31" customFormat="1" ht="35.25" customHeight="1">
      <c r="A17" s="222" t="s">
        <v>263</v>
      </c>
      <c r="B17" s="223" t="s">
        <v>264</v>
      </c>
      <c r="C17" s="227" t="s">
        <v>305</v>
      </c>
      <c r="D17" s="227" t="s">
        <v>327</v>
      </c>
      <c r="E17" s="107" t="s">
        <v>42</v>
      </c>
      <c r="F17" s="123">
        <f>SUM(F18:F20)</f>
        <v>6300.7</v>
      </c>
      <c r="G17" s="123">
        <f t="shared" si="22"/>
        <v>3141.6</v>
      </c>
      <c r="H17" s="123">
        <f t="shared" ref="H17:R17" si="30">SUM(H18:H20)</f>
        <v>2347.2999999999997</v>
      </c>
      <c r="I17" s="123">
        <f t="shared" si="23"/>
        <v>1728.2999999999997</v>
      </c>
      <c r="J17" s="123">
        <f t="shared" ref="J17:J22" si="31">H17/F17*100</f>
        <v>37.254590759756852</v>
      </c>
      <c r="K17" s="123">
        <f t="shared" si="30"/>
        <v>278.5</v>
      </c>
      <c r="L17" s="123">
        <f t="shared" si="30"/>
        <v>228.2</v>
      </c>
      <c r="M17" s="123">
        <f>L17/K17*100</f>
        <v>81.938958707360854</v>
      </c>
      <c r="N17" s="123">
        <f t="shared" si="30"/>
        <v>490.3</v>
      </c>
      <c r="O17" s="123">
        <f t="shared" si="30"/>
        <v>372.4</v>
      </c>
      <c r="P17" s="123">
        <f t="shared" si="26"/>
        <v>75.953497858454</v>
      </c>
      <c r="Q17" s="123">
        <f t="shared" si="30"/>
        <v>726.2</v>
      </c>
      <c r="R17" s="123">
        <f t="shared" si="30"/>
        <v>529.6</v>
      </c>
      <c r="S17" s="123">
        <f t="shared" si="27"/>
        <v>72.927568163040476</v>
      </c>
      <c r="T17" s="123">
        <f t="shared" ref="T17:AD17" si="32">SUM(T18:T20)</f>
        <v>737.9</v>
      </c>
      <c r="U17" s="123">
        <f t="shared" si="32"/>
        <v>598.1</v>
      </c>
      <c r="V17" s="123">
        <f t="shared" si="28"/>
        <v>81.054343406965728</v>
      </c>
      <c r="W17" s="123">
        <f t="shared" si="32"/>
        <v>524.69999999999993</v>
      </c>
      <c r="X17" s="123">
        <f t="shared" si="32"/>
        <v>394.79999999999995</v>
      </c>
      <c r="Y17" s="123">
        <f t="shared" ref="Y17:Y18" si="33">X17/W17*100</f>
        <v>75.242995997712981</v>
      </c>
      <c r="Z17" s="123">
        <f t="shared" si="32"/>
        <v>384</v>
      </c>
      <c r="AA17" s="123">
        <f t="shared" si="32"/>
        <v>224.2</v>
      </c>
      <c r="AB17" s="123">
        <f>AA17/Z17*100</f>
        <v>58.385416666666664</v>
      </c>
      <c r="AC17" s="104">
        <f t="shared" si="32"/>
        <v>670.3</v>
      </c>
      <c r="AD17" s="123">
        <f t="shared" si="32"/>
        <v>0</v>
      </c>
      <c r="AE17" s="123">
        <f>SUM(AE18:AE20)</f>
        <v>0</v>
      </c>
      <c r="AF17" s="104">
        <f t="shared" ref="AF17:AT17" si="34">SUM(AF18:AF20)</f>
        <v>579.4</v>
      </c>
      <c r="AG17" s="104">
        <f t="shared" si="34"/>
        <v>0</v>
      </c>
      <c r="AH17" s="104">
        <f t="shared" si="34"/>
        <v>0</v>
      </c>
      <c r="AI17" s="104">
        <f t="shared" si="34"/>
        <v>316.60000000000002</v>
      </c>
      <c r="AJ17" s="123">
        <f t="shared" si="34"/>
        <v>0</v>
      </c>
      <c r="AK17" s="123">
        <f t="shared" si="34"/>
        <v>0</v>
      </c>
      <c r="AL17" s="123">
        <f t="shared" si="34"/>
        <v>600.4</v>
      </c>
      <c r="AM17" s="123">
        <f t="shared" si="34"/>
        <v>0</v>
      </c>
      <c r="AN17" s="123">
        <f t="shared" si="34"/>
        <v>0</v>
      </c>
      <c r="AO17" s="104">
        <f t="shared" si="34"/>
        <v>450.4</v>
      </c>
      <c r="AP17" s="123">
        <f t="shared" si="34"/>
        <v>0</v>
      </c>
      <c r="AQ17" s="123">
        <f t="shared" si="34"/>
        <v>0</v>
      </c>
      <c r="AR17" s="104">
        <f t="shared" si="34"/>
        <v>542</v>
      </c>
      <c r="AS17" s="123">
        <f t="shared" si="34"/>
        <v>0</v>
      </c>
      <c r="AT17" s="123">
        <f t="shared" si="34"/>
        <v>0</v>
      </c>
      <c r="AU17" s="282" t="s">
        <v>376</v>
      </c>
      <c r="AV17" s="285" t="s">
        <v>403</v>
      </c>
    </row>
    <row r="18" spans="1:48" s="31" customFormat="1" ht="47.25" customHeight="1">
      <c r="A18" s="222"/>
      <c r="B18" s="223"/>
      <c r="C18" s="228"/>
      <c r="D18" s="228"/>
      <c r="E18" s="108" t="s">
        <v>3</v>
      </c>
      <c r="F18" s="123">
        <f>K18+N18+Q18+T18+W18+Z18+AC18+AF18+AI18+AL18+AO18+AR18</f>
        <v>1256.5</v>
      </c>
      <c r="G18" s="123">
        <f t="shared" si="22"/>
        <v>799.2</v>
      </c>
      <c r="H18" s="123">
        <f>L18+O18+R18+U18+X18+AA18+AD18+AG18+AJ18+AM18+AP18+AS18</f>
        <v>679</v>
      </c>
      <c r="I18" s="123">
        <f t="shared" si="23"/>
        <v>586</v>
      </c>
      <c r="J18" s="123">
        <f t="shared" si="31"/>
        <v>54.038997214484674</v>
      </c>
      <c r="K18" s="104">
        <v>245</v>
      </c>
      <c r="L18" s="104">
        <v>228.2</v>
      </c>
      <c r="M18" s="123">
        <f>L18/K18*100</f>
        <v>93.142857142857139</v>
      </c>
      <c r="N18" s="126">
        <f>144.6+83.4</f>
        <v>228</v>
      </c>
      <c r="O18" s="104">
        <v>198.5</v>
      </c>
      <c r="P18" s="123">
        <f t="shared" si="26"/>
        <v>87.061403508771932</v>
      </c>
      <c r="Q18" s="104">
        <f>25.7+83.1-11.1</f>
        <v>97.7</v>
      </c>
      <c r="R18" s="104">
        <v>88.7</v>
      </c>
      <c r="S18" s="123">
        <f t="shared" si="27"/>
        <v>90.788126919140225</v>
      </c>
      <c r="T18" s="104">
        <f>5+68</f>
        <v>73</v>
      </c>
      <c r="U18" s="104">
        <v>70.599999999999994</v>
      </c>
      <c r="V18" s="123">
        <f t="shared" si="28"/>
        <v>96.712328767123282</v>
      </c>
      <c r="W18" s="105">
        <f>21+67.8</f>
        <v>88.8</v>
      </c>
      <c r="X18" s="105">
        <f>4.8+64.1</f>
        <v>68.899999999999991</v>
      </c>
      <c r="Y18" s="123">
        <f t="shared" si="33"/>
        <v>77.590090090090087</v>
      </c>
      <c r="Z18" s="105">
        <f>16.4+47.9+2.4</f>
        <v>66.7</v>
      </c>
      <c r="AA18" s="105">
        <v>24.1</v>
      </c>
      <c r="AB18" s="105">
        <f>AA18/Z18*100</f>
        <v>36.131934032983509</v>
      </c>
      <c r="AC18" s="105">
        <f>22.5+32.9</f>
        <v>55.4</v>
      </c>
      <c r="AD18" s="105">
        <v>0</v>
      </c>
      <c r="AE18" s="105">
        <v>0</v>
      </c>
      <c r="AF18" s="105">
        <f>5+32.9+14</f>
        <v>51.9</v>
      </c>
      <c r="AG18" s="105">
        <v>0</v>
      </c>
      <c r="AH18" s="105">
        <v>0</v>
      </c>
      <c r="AI18" s="105">
        <f>5+33</f>
        <v>38</v>
      </c>
      <c r="AJ18" s="105">
        <v>0</v>
      </c>
      <c r="AK18" s="105">
        <v>0</v>
      </c>
      <c r="AL18" s="104">
        <f>16.6+47.8+11.1</f>
        <v>75.5</v>
      </c>
      <c r="AM18" s="104">
        <v>0</v>
      </c>
      <c r="AN18" s="104">
        <v>0</v>
      </c>
      <c r="AO18" s="105">
        <f>22.5+68</f>
        <v>90.5</v>
      </c>
      <c r="AP18" s="105">
        <v>0</v>
      </c>
      <c r="AQ18" s="105">
        <v>0</v>
      </c>
      <c r="AR18" s="104">
        <f>23+139.4-14-2.4</f>
        <v>146</v>
      </c>
      <c r="AS18" s="104"/>
      <c r="AT18" s="104"/>
      <c r="AU18" s="283"/>
      <c r="AV18" s="286"/>
    </row>
    <row r="19" spans="1:48" s="31" customFormat="1" ht="32.25" customHeight="1">
      <c r="A19" s="222"/>
      <c r="B19" s="223"/>
      <c r="C19" s="228"/>
      <c r="D19" s="228"/>
      <c r="E19" s="108" t="s">
        <v>44</v>
      </c>
      <c r="F19" s="123">
        <f t="shared" ref="F19:F20" si="35">K19+N19+Q19+T19+W19+Z19+AC19+AF19+AI19+AL19+AO19+AR19</f>
        <v>0</v>
      </c>
      <c r="G19" s="123">
        <f t="shared" si="22"/>
        <v>0</v>
      </c>
      <c r="H19" s="123">
        <f t="shared" ref="H19:H20" si="36">L19+O19+R19+U19+X19+AA19+AD19+AG19+AJ19+AM19+AP19+AS19</f>
        <v>0</v>
      </c>
      <c r="I19" s="123">
        <f t="shared" si="23"/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23">
        <v>0</v>
      </c>
      <c r="AD19" s="123">
        <v>0</v>
      </c>
      <c r="AE19" s="123">
        <v>0</v>
      </c>
      <c r="AF19" s="117">
        <v>0</v>
      </c>
      <c r="AG19" s="117">
        <v>0</v>
      </c>
      <c r="AH19" s="117">
        <v>0</v>
      </c>
      <c r="AI19" s="117">
        <v>0</v>
      </c>
      <c r="AJ19" s="117"/>
      <c r="AK19" s="117"/>
      <c r="AL19" s="123">
        <v>0</v>
      </c>
      <c r="AM19" s="123">
        <v>0</v>
      </c>
      <c r="AN19" s="123">
        <v>0</v>
      </c>
      <c r="AO19" s="117">
        <v>0</v>
      </c>
      <c r="AP19" s="117">
        <v>0</v>
      </c>
      <c r="AQ19" s="117">
        <v>0</v>
      </c>
      <c r="AR19" s="117">
        <v>0</v>
      </c>
      <c r="AS19" s="123"/>
      <c r="AT19" s="123"/>
      <c r="AU19" s="283"/>
      <c r="AV19" s="286"/>
    </row>
    <row r="20" spans="1:48" s="31" customFormat="1" ht="45" customHeight="1">
      <c r="A20" s="222"/>
      <c r="B20" s="223"/>
      <c r="C20" s="229"/>
      <c r="D20" s="229"/>
      <c r="E20" s="109" t="s">
        <v>275</v>
      </c>
      <c r="F20" s="123">
        <f t="shared" si="35"/>
        <v>5044.2</v>
      </c>
      <c r="G20" s="123">
        <f t="shared" si="22"/>
        <v>2342.4</v>
      </c>
      <c r="H20" s="123">
        <f t="shared" si="36"/>
        <v>1668.2999999999997</v>
      </c>
      <c r="I20" s="123">
        <f t="shared" si="23"/>
        <v>1142.3</v>
      </c>
      <c r="J20" s="123">
        <f t="shared" si="31"/>
        <v>33.073629118591647</v>
      </c>
      <c r="K20" s="104">
        <v>33.5</v>
      </c>
      <c r="L20" s="104">
        <v>0</v>
      </c>
      <c r="M20" s="123">
        <f>L20/K20*100</f>
        <v>0</v>
      </c>
      <c r="N20" s="126">
        <f>220+42.3</f>
        <v>262.3</v>
      </c>
      <c r="O20" s="104">
        <v>173.9</v>
      </c>
      <c r="P20" s="123">
        <f t="shared" si="26"/>
        <v>66.298131910026683</v>
      </c>
      <c r="Q20" s="104">
        <f>561.5+67</f>
        <v>628.5</v>
      </c>
      <c r="R20" s="104">
        <v>440.9</v>
      </c>
      <c r="S20" s="123">
        <f t="shared" si="27"/>
        <v>70.151153540175017</v>
      </c>
      <c r="T20" s="104">
        <v>664.9</v>
      </c>
      <c r="U20" s="104">
        <v>527.5</v>
      </c>
      <c r="V20" s="123">
        <f t="shared" si="28"/>
        <v>79.335238381711534</v>
      </c>
      <c r="W20" s="105">
        <f>255+136+44.9</f>
        <v>435.9</v>
      </c>
      <c r="X20" s="105">
        <v>325.89999999999998</v>
      </c>
      <c r="Y20" s="123">
        <f t="shared" ref="Y20:Y22" si="37">X20/W20*100</f>
        <v>74.76485432438632</v>
      </c>
      <c r="Z20" s="105">
        <f>100+77.5+44.9+79.8+15.1</f>
        <v>317.3</v>
      </c>
      <c r="AA20" s="105">
        <v>200.1</v>
      </c>
      <c r="AB20" s="105">
        <f>AA20/Z20*100</f>
        <v>63.063346990230059</v>
      </c>
      <c r="AC20" s="105">
        <f>500+70+44.9</f>
        <v>614.9</v>
      </c>
      <c r="AD20" s="105">
        <v>0</v>
      </c>
      <c r="AE20" s="105">
        <v>0</v>
      </c>
      <c r="AF20" s="105">
        <f>165+151+211.5</f>
        <v>527.5</v>
      </c>
      <c r="AG20" s="105">
        <v>0</v>
      </c>
      <c r="AH20" s="105">
        <v>0</v>
      </c>
      <c r="AI20" s="105">
        <f>144+50+44.9+39.7</f>
        <v>278.60000000000002</v>
      </c>
      <c r="AJ20" s="105">
        <v>0</v>
      </c>
      <c r="AK20" s="105">
        <v>0</v>
      </c>
      <c r="AL20" s="104">
        <f>435+45+44.9</f>
        <v>524.9</v>
      </c>
      <c r="AM20" s="104">
        <v>0</v>
      </c>
      <c r="AN20" s="104">
        <v>0</v>
      </c>
      <c r="AO20" s="105">
        <f>200+115+44.9</f>
        <v>359.9</v>
      </c>
      <c r="AP20" s="105">
        <v>0</v>
      </c>
      <c r="AQ20" s="105">
        <v>0</v>
      </c>
      <c r="AR20" s="104">
        <f>530.6-119.5-15.1</f>
        <v>396</v>
      </c>
      <c r="AS20" s="104"/>
      <c r="AT20" s="104"/>
      <c r="AU20" s="284"/>
      <c r="AV20" s="287"/>
    </row>
    <row r="21" spans="1:48" s="31" customFormat="1" ht="135" customHeight="1">
      <c r="A21" s="222" t="s">
        <v>265</v>
      </c>
      <c r="B21" s="223" t="s">
        <v>266</v>
      </c>
      <c r="C21" s="227" t="s">
        <v>306</v>
      </c>
      <c r="D21" s="227" t="s">
        <v>371</v>
      </c>
      <c r="E21" s="107" t="s">
        <v>42</v>
      </c>
      <c r="F21" s="123">
        <f>SUM(F22:F24)</f>
        <v>1561.6999999999998</v>
      </c>
      <c r="G21" s="123">
        <f t="shared" si="22"/>
        <v>562.79999999999995</v>
      </c>
      <c r="H21" s="123">
        <f t="shared" ref="H21:R21" si="38">SUM(H22:H24)</f>
        <v>386.6</v>
      </c>
      <c r="I21" s="123">
        <f t="shared" si="23"/>
        <v>222.5</v>
      </c>
      <c r="J21" s="123">
        <f t="shared" si="31"/>
        <v>24.75507459819428</v>
      </c>
      <c r="K21" s="123">
        <f t="shared" si="38"/>
        <v>6.6000000000000014</v>
      </c>
      <c r="L21" s="123">
        <f t="shared" si="38"/>
        <v>6.5</v>
      </c>
      <c r="M21" s="123">
        <f t="shared" ref="M21:M22" si="39">L21/K21*100</f>
        <v>98.48484848484847</v>
      </c>
      <c r="N21" s="123">
        <f t="shared" si="38"/>
        <v>112.8</v>
      </c>
      <c r="O21" s="123">
        <f t="shared" si="38"/>
        <v>71.099999999999994</v>
      </c>
      <c r="P21" s="123">
        <f t="shared" si="26"/>
        <v>63.031914893617014</v>
      </c>
      <c r="Q21" s="123">
        <f t="shared" si="38"/>
        <v>81</v>
      </c>
      <c r="R21" s="123">
        <f t="shared" si="38"/>
        <v>43.9</v>
      </c>
      <c r="S21" s="123">
        <f t="shared" si="27"/>
        <v>54.197530864197532</v>
      </c>
      <c r="T21" s="123">
        <f t="shared" ref="T21:AB21" si="40">SUM(T22:T24)</f>
        <v>157.69999999999999</v>
      </c>
      <c r="U21" s="123">
        <f t="shared" si="40"/>
        <v>101</v>
      </c>
      <c r="V21" s="123">
        <f t="shared" si="28"/>
        <v>64.045656309448333</v>
      </c>
      <c r="W21" s="123">
        <f t="shared" si="40"/>
        <v>72.900000000000006</v>
      </c>
      <c r="X21" s="123">
        <f t="shared" si="40"/>
        <v>72.599999999999994</v>
      </c>
      <c r="Y21" s="123">
        <f t="shared" si="37"/>
        <v>99.58847736625512</v>
      </c>
      <c r="Z21" s="123">
        <f t="shared" si="40"/>
        <v>131.80000000000001</v>
      </c>
      <c r="AA21" s="123">
        <f t="shared" si="40"/>
        <v>91.5</v>
      </c>
      <c r="AB21" s="123">
        <f t="shared" si="40"/>
        <v>69.423368740515926</v>
      </c>
      <c r="AC21" s="104">
        <f t="shared" ref="AC21:AD21" si="41">SUM(AC22:AC24)</f>
        <v>366.2</v>
      </c>
      <c r="AD21" s="123">
        <f t="shared" si="41"/>
        <v>0</v>
      </c>
      <c r="AE21" s="123">
        <f>SUM(AE22:AE24)</f>
        <v>0</v>
      </c>
      <c r="AF21" s="104">
        <f t="shared" ref="AF21:AT21" si="42">SUM(AF22:AF24)</f>
        <v>128.30000000000001</v>
      </c>
      <c r="AG21" s="104">
        <f t="shared" si="42"/>
        <v>0</v>
      </c>
      <c r="AH21" s="104">
        <f t="shared" si="42"/>
        <v>0</v>
      </c>
      <c r="AI21" s="104">
        <f t="shared" si="42"/>
        <v>185.6</v>
      </c>
      <c r="AJ21" s="123">
        <f t="shared" si="42"/>
        <v>0</v>
      </c>
      <c r="AK21" s="123">
        <f t="shared" si="42"/>
        <v>0</v>
      </c>
      <c r="AL21" s="123">
        <f t="shared" si="42"/>
        <v>119.4</v>
      </c>
      <c r="AM21" s="123">
        <f t="shared" si="42"/>
        <v>0</v>
      </c>
      <c r="AN21" s="123">
        <f t="shared" si="42"/>
        <v>0</v>
      </c>
      <c r="AO21" s="104">
        <f t="shared" si="42"/>
        <v>36.1</v>
      </c>
      <c r="AP21" s="123">
        <f t="shared" si="42"/>
        <v>0</v>
      </c>
      <c r="AQ21" s="123">
        <f t="shared" si="42"/>
        <v>0</v>
      </c>
      <c r="AR21" s="104">
        <f t="shared" si="42"/>
        <v>163.29999999999995</v>
      </c>
      <c r="AS21" s="123">
        <f t="shared" si="42"/>
        <v>0</v>
      </c>
      <c r="AT21" s="123">
        <f t="shared" si="42"/>
        <v>0</v>
      </c>
      <c r="AU21" s="282" t="s">
        <v>374</v>
      </c>
      <c r="AV21" s="278" t="s">
        <v>375</v>
      </c>
    </row>
    <row r="22" spans="1:48" s="31" customFormat="1" ht="105" customHeight="1">
      <c r="A22" s="222"/>
      <c r="B22" s="223"/>
      <c r="C22" s="228"/>
      <c r="D22" s="228"/>
      <c r="E22" s="108" t="s">
        <v>3</v>
      </c>
      <c r="F22" s="123">
        <f>K22+N22+Q22+T22+W22+Z22+AC22+AF22+AI22+AL22+AO22+AR22</f>
        <v>1561.6999999999998</v>
      </c>
      <c r="G22" s="123">
        <f t="shared" si="22"/>
        <v>562.79999999999995</v>
      </c>
      <c r="H22" s="123">
        <f>L22+O22+R22+U22+X22+AA22+AD22+AG22+AJ22+AM22+AP22+AS22</f>
        <v>386.6</v>
      </c>
      <c r="I22" s="123">
        <f t="shared" si="23"/>
        <v>222.5</v>
      </c>
      <c r="J22" s="123">
        <f t="shared" si="31"/>
        <v>24.75507459819428</v>
      </c>
      <c r="K22" s="104">
        <f>28.6-22</f>
        <v>6.6000000000000014</v>
      </c>
      <c r="L22" s="104">
        <v>6.5</v>
      </c>
      <c r="M22" s="123">
        <f t="shared" si="39"/>
        <v>98.48484848484847</v>
      </c>
      <c r="N22" s="126">
        <f>40.8+22+50</f>
        <v>112.8</v>
      </c>
      <c r="O22" s="104">
        <v>71.099999999999994</v>
      </c>
      <c r="P22" s="123">
        <f t="shared" si="26"/>
        <v>63.031914893617014</v>
      </c>
      <c r="Q22" s="104">
        <f>119+2.8+9.2-50</f>
        <v>81</v>
      </c>
      <c r="R22" s="104">
        <v>43.9</v>
      </c>
      <c r="S22" s="123">
        <f t="shared" si="27"/>
        <v>54.197530864197532</v>
      </c>
      <c r="T22" s="104">
        <f>256.7+21-120</f>
        <v>157.69999999999999</v>
      </c>
      <c r="U22" s="104">
        <v>101</v>
      </c>
      <c r="V22" s="123">
        <f t="shared" si="28"/>
        <v>64.045656309448333</v>
      </c>
      <c r="W22" s="105">
        <f>51.9+21</f>
        <v>72.900000000000006</v>
      </c>
      <c r="X22" s="105">
        <v>72.599999999999994</v>
      </c>
      <c r="Y22" s="123">
        <f t="shared" si="37"/>
        <v>99.58847736625512</v>
      </c>
      <c r="Z22" s="105">
        <f>11.8+120</f>
        <v>131.80000000000001</v>
      </c>
      <c r="AA22" s="105">
        <v>91.5</v>
      </c>
      <c r="AB22" s="105">
        <f>AA22/Z22*100</f>
        <v>69.423368740515926</v>
      </c>
      <c r="AC22" s="105">
        <v>366.2</v>
      </c>
      <c r="AD22" s="105">
        <v>0</v>
      </c>
      <c r="AE22" s="105">
        <v>0</v>
      </c>
      <c r="AF22" s="105">
        <v>128.30000000000001</v>
      </c>
      <c r="AG22" s="105">
        <v>0</v>
      </c>
      <c r="AH22" s="105">
        <v>0</v>
      </c>
      <c r="AI22" s="105">
        <v>185.6</v>
      </c>
      <c r="AJ22" s="105">
        <v>0</v>
      </c>
      <c r="AK22" s="105">
        <v>0</v>
      </c>
      <c r="AL22" s="104">
        <f>174-54.6</f>
        <v>119.4</v>
      </c>
      <c r="AM22" s="104">
        <v>0</v>
      </c>
      <c r="AN22" s="104">
        <v>0</v>
      </c>
      <c r="AO22" s="105">
        <v>36.1</v>
      </c>
      <c r="AP22" s="105">
        <v>0</v>
      </c>
      <c r="AQ22" s="105">
        <v>0</v>
      </c>
      <c r="AR22" s="104">
        <f>216.2+4.6-2.8-54.7</f>
        <v>163.29999999999995</v>
      </c>
      <c r="AS22" s="104"/>
      <c r="AT22" s="104"/>
      <c r="AU22" s="283"/>
      <c r="AV22" s="279"/>
    </row>
    <row r="23" spans="1:48" s="31" customFormat="1" ht="97.5" customHeight="1">
      <c r="A23" s="222"/>
      <c r="B23" s="223"/>
      <c r="C23" s="228"/>
      <c r="D23" s="228"/>
      <c r="E23" s="108" t="s">
        <v>44</v>
      </c>
      <c r="F23" s="123">
        <f t="shared" ref="F23:F24" si="43">K23+N23+Q23+T23+W23+Z23+AC23+AF23+AI23+AL23+AO23+AR23</f>
        <v>0</v>
      </c>
      <c r="G23" s="123">
        <f t="shared" si="22"/>
        <v>0</v>
      </c>
      <c r="H23" s="123">
        <f t="shared" ref="H23:H24" si="44">L23+O23+R23+U23+X23+AA23+AD23+AG23+AJ23+AM23+AP23+AS23</f>
        <v>0</v>
      </c>
      <c r="I23" s="123">
        <f t="shared" si="23"/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23">
        <v>0</v>
      </c>
      <c r="AD23" s="123">
        <v>0</v>
      </c>
      <c r="AE23" s="123">
        <v>0</v>
      </c>
      <c r="AF23" s="117">
        <v>0</v>
      </c>
      <c r="AG23" s="117">
        <v>0</v>
      </c>
      <c r="AH23" s="117">
        <v>0</v>
      </c>
      <c r="AI23" s="117">
        <v>0</v>
      </c>
      <c r="AJ23" s="117"/>
      <c r="AK23" s="117"/>
      <c r="AL23" s="123">
        <v>0</v>
      </c>
      <c r="AM23" s="123">
        <v>0</v>
      </c>
      <c r="AN23" s="123">
        <v>0</v>
      </c>
      <c r="AO23" s="117">
        <v>0</v>
      </c>
      <c r="AP23" s="117">
        <v>0</v>
      </c>
      <c r="AQ23" s="117">
        <v>0</v>
      </c>
      <c r="AR23" s="117">
        <v>0</v>
      </c>
      <c r="AS23" s="123"/>
      <c r="AT23" s="123"/>
      <c r="AU23" s="283"/>
      <c r="AV23" s="279"/>
    </row>
    <row r="24" spans="1:48" s="31" customFormat="1" ht="87.75" customHeight="1">
      <c r="A24" s="222"/>
      <c r="B24" s="223"/>
      <c r="C24" s="229"/>
      <c r="D24" s="229"/>
      <c r="E24" s="109" t="s">
        <v>275</v>
      </c>
      <c r="F24" s="123">
        <f t="shared" si="43"/>
        <v>0</v>
      </c>
      <c r="G24" s="123">
        <f t="shared" si="22"/>
        <v>0</v>
      </c>
      <c r="H24" s="123">
        <f t="shared" si="44"/>
        <v>0</v>
      </c>
      <c r="I24" s="123">
        <f t="shared" si="23"/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23">
        <v>0</v>
      </c>
      <c r="AD24" s="123">
        <v>0</v>
      </c>
      <c r="AE24" s="123">
        <v>0</v>
      </c>
      <c r="AF24" s="117">
        <v>0</v>
      </c>
      <c r="AG24" s="117">
        <v>0</v>
      </c>
      <c r="AH24" s="117">
        <v>0</v>
      </c>
      <c r="AI24" s="117">
        <v>0</v>
      </c>
      <c r="AJ24" s="117"/>
      <c r="AK24" s="117"/>
      <c r="AL24" s="123">
        <v>0</v>
      </c>
      <c r="AM24" s="123">
        <v>0</v>
      </c>
      <c r="AN24" s="123">
        <v>0</v>
      </c>
      <c r="AO24" s="117">
        <v>0</v>
      </c>
      <c r="AP24" s="117">
        <v>0</v>
      </c>
      <c r="AQ24" s="117">
        <v>0</v>
      </c>
      <c r="AR24" s="117">
        <v>0</v>
      </c>
      <c r="AS24" s="123"/>
      <c r="AT24" s="123"/>
      <c r="AU24" s="284"/>
      <c r="AV24" s="280"/>
    </row>
    <row r="25" spans="1:48" s="31" customFormat="1" ht="12.75">
      <c r="A25" s="222" t="s">
        <v>267</v>
      </c>
      <c r="B25" s="223" t="s">
        <v>268</v>
      </c>
      <c r="C25" s="227" t="s">
        <v>306</v>
      </c>
      <c r="D25" s="227" t="s">
        <v>340</v>
      </c>
      <c r="E25" s="107" t="s">
        <v>42</v>
      </c>
      <c r="F25" s="123">
        <f>SUM(F26:F28)</f>
        <v>228.29999999999998</v>
      </c>
      <c r="G25" s="123">
        <f t="shared" si="22"/>
        <v>64.099999999999994</v>
      </c>
      <c r="H25" s="123">
        <f t="shared" ref="H25:R25" si="45">SUM(H26:H28)</f>
        <v>64</v>
      </c>
      <c r="I25" s="123">
        <f t="shared" si="23"/>
        <v>0</v>
      </c>
      <c r="J25" s="123">
        <f t="shared" ref="J25:J26" si="46">H25/F25*100</f>
        <v>28.033289531318445</v>
      </c>
      <c r="K25" s="123">
        <f t="shared" si="45"/>
        <v>0</v>
      </c>
      <c r="L25" s="123">
        <f t="shared" si="45"/>
        <v>0</v>
      </c>
      <c r="M25" s="123">
        <f t="shared" si="45"/>
        <v>0</v>
      </c>
      <c r="N25" s="123">
        <f t="shared" si="45"/>
        <v>0</v>
      </c>
      <c r="O25" s="123">
        <f t="shared" si="45"/>
        <v>0</v>
      </c>
      <c r="P25" s="123">
        <v>0</v>
      </c>
      <c r="Q25" s="123">
        <f t="shared" si="45"/>
        <v>0</v>
      </c>
      <c r="R25" s="123">
        <f t="shared" si="45"/>
        <v>0</v>
      </c>
      <c r="S25" s="123">
        <v>0</v>
      </c>
      <c r="T25" s="123">
        <f t="shared" ref="T25:AB25" si="47">SUM(T26:T28)</f>
        <v>0</v>
      </c>
      <c r="U25" s="123">
        <f t="shared" si="47"/>
        <v>0</v>
      </c>
      <c r="V25" s="123">
        <v>0</v>
      </c>
      <c r="W25" s="123">
        <f t="shared" si="47"/>
        <v>0</v>
      </c>
      <c r="X25" s="123">
        <f t="shared" si="47"/>
        <v>0</v>
      </c>
      <c r="Y25" s="123">
        <f t="shared" si="47"/>
        <v>0</v>
      </c>
      <c r="Z25" s="123">
        <f t="shared" si="47"/>
        <v>64.099999999999994</v>
      </c>
      <c r="AA25" s="123">
        <f t="shared" si="47"/>
        <v>64</v>
      </c>
      <c r="AB25" s="123">
        <f t="shared" si="47"/>
        <v>99.84399375975039</v>
      </c>
      <c r="AC25" s="104">
        <f t="shared" ref="AC25:AD25" si="48">SUM(AC26:AC28)</f>
        <v>45</v>
      </c>
      <c r="AD25" s="123">
        <f t="shared" si="48"/>
        <v>0</v>
      </c>
      <c r="AE25" s="123">
        <f>SUM(AE26:AE28)</f>
        <v>0</v>
      </c>
      <c r="AF25" s="104">
        <f t="shared" ref="AF25:AT25" si="49">SUM(AF26:AF28)</f>
        <v>39.6</v>
      </c>
      <c r="AG25" s="104">
        <f t="shared" si="49"/>
        <v>0</v>
      </c>
      <c r="AH25" s="104">
        <f t="shared" si="49"/>
        <v>0</v>
      </c>
      <c r="AI25" s="104">
        <f t="shared" si="49"/>
        <v>79.599999999999994</v>
      </c>
      <c r="AJ25" s="123">
        <f t="shared" si="49"/>
        <v>0</v>
      </c>
      <c r="AK25" s="123">
        <f t="shared" si="49"/>
        <v>0</v>
      </c>
      <c r="AL25" s="123">
        <f t="shared" si="49"/>
        <v>0</v>
      </c>
      <c r="AM25" s="123">
        <f t="shared" si="49"/>
        <v>0</v>
      </c>
      <c r="AN25" s="123">
        <f t="shared" si="49"/>
        <v>0</v>
      </c>
      <c r="AO25" s="104">
        <f t="shared" si="49"/>
        <v>0</v>
      </c>
      <c r="AP25" s="123">
        <f t="shared" si="49"/>
        <v>0</v>
      </c>
      <c r="AQ25" s="123">
        <f t="shared" si="49"/>
        <v>0</v>
      </c>
      <c r="AR25" s="104">
        <f t="shared" si="49"/>
        <v>0</v>
      </c>
      <c r="AS25" s="123">
        <f t="shared" si="49"/>
        <v>0</v>
      </c>
      <c r="AT25" s="123">
        <f t="shared" si="49"/>
        <v>0</v>
      </c>
      <c r="AU25" s="282" t="s">
        <v>357</v>
      </c>
      <c r="AV25" s="251"/>
    </row>
    <row r="26" spans="1:48" s="31" customFormat="1" ht="36">
      <c r="A26" s="222"/>
      <c r="B26" s="223"/>
      <c r="C26" s="228"/>
      <c r="D26" s="228"/>
      <c r="E26" s="108" t="s">
        <v>3</v>
      </c>
      <c r="F26" s="123">
        <f>K26+N26+Q26+T26+W26+Z26+AC26+AF26+AI26+AL26+AO26+AR26</f>
        <v>228.29999999999998</v>
      </c>
      <c r="G26" s="123">
        <f t="shared" si="22"/>
        <v>64.099999999999994</v>
      </c>
      <c r="H26" s="123">
        <f>L26+O26+R26+U26+X26+AA26+AD26+AG26+AJ26+AM26+AP26+AS26</f>
        <v>64</v>
      </c>
      <c r="I26" s="123">
        <f t="shared" si="23"/>
        <v>0</v>
      </c>
      <c r="J26" s="123">
        <f t="shared" si="46"/>
        <v>28.033289531318445</v>
      </c>
      <c r="K26" s="104">
        <v>0</v>
      </c>
      <c r="L26" s="104">
        <v>0</v>
      </c>
      <c r="M26" s="104">
        <v>0</v>
      </c>
      <c r="N26" s="126">
        <v>0</v>
      </c>
      <c r="O26" s="104">
        <v>0</v>
      </c>
      <c r="P26" s="123">
        <v>0</v>
      </c>
      <c r="Q26" s="104">
        <v>0</v>
      </c>
      <c r="R26" s="104">
        <v>0</v>
      </c>
      <c r="S26" s="123">
        <v>0</v>
      </c>
      <c r="T26" s="104">
        <f>64.1-64.1</f>
        <v>0</v>
      </c>
      <c r="U26" s="104">
        <v>0</v>
      </c>
      <c r="V26" s="123">
        <v>0</v>
      </c>
      <c r="W26" s="105">
        <v>0</v>
      </c>
      <c r="X26" s="105">
        <v>0</v>
      </c>
      <c r="Y26" s="105">
        <v>0</v>
      </c>
      <c r="Z26" s="105">
        <v>64.099999999999994</v>
      </c>
      <c r="AA26" s="105">
        <v>64</v>
      </c>
      <c r="AB26" s="105">
        <f>AA26/Z26*100</f>
        <v>99.84399375975039</v>
      </c>
      <c r="AC26" s="105">
        <v>45</v>
      </c>
      <c r="AD26" s="105">
        <v>0</v>
      </c>
      <c r="AE26" s="105">
        <v>0</v>
      </c>
      <c r="AF26" s="105">
        <v>39.6</v>
      </c>
      <c r="AG26" s="105">
        <v>0</v>
      </c>
      <c r="AH26" s="105">
        <v>0</v>
      </c>
      <c r="AI26" s="105">
        <v>79.599999999999994</v>
      </c>
      <c r="AJ26" s="105">
        <v>0</v>
      </c>
      <c r="AK26" s="105">
        <v>0</v>
      </c>
      <c r="AL26" s="104">
        <v>0</v>
      </c>
      <c r="AM26" s="104">
        <v>0</v>
      </c>
      <c r="AN26" s="104">
        <v>0</v>
      </c>
      <c r="AO26" s="105">
        <v>0</v>
      </c>
      <c r="AP26" s="105">
        <v>0</v>
      </c>
      <c r="AQ26" s="105">
        <v>0</v>
      </c>
      <c r="AR26" s="104">
        <v>0</v>
      </c>
      <c r="AS26" s="104"/>
      <c r="AT26" s="104"/>
      <c r="AU26" s="283"/>
      <c r="AV26" s="252"/>
    </row>
    <row r="27" spans="1:48" s="31" customFormat="1" ht="24">
      <c r="A27" s="222"/>
      <c r="B27" s="223"/>
      <c r="C27" s="228"/>
      <c r="D27" s="228"/>
      <c r="E27" s="108" t="s">
        <v>44</v>
      </c>
      <c r="F27" s="123">
        <f t="shared" ref="F27:F28" si="50">K27+N27+Q27+T27+W27+Z27+AC27+AF27+AI27+AL27+AO27+AR27</f>
        <v>0</v>
      </c>
      <c r="G27" s="123">
        <f t="shared" si="22"/>
        <v>0</v>
      </c>
      <c r="H27" s="123">
        <f t="shared" ref="H27:H28" si="51">L27+O27+R27+U27+X27+AA27+AD27+AG27+AJ27+AM27+AP27+AS27</f>
        <v>0</v>
      </c>
      <c r="I27" s="123">
        <f t="shared" si="23"/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23">
        <v>0</v>
      </c>
      <c r="AD27" s="123">
        <v>0</v>
      </c>
      <c r="AE27" s="123">
        <v>0</v>
      </c>
      <c r="AF27" s="117">
        <v>0</v>
      </c>
      <c r="AG27" s="117">
        <v>0</v>
      </c>
      <c r="AH27" s="117">
        <v>0</v>
      </c>
      <c r="AI27" s="117">
        <v>0</v>
      </c>
      <c r="AJ27" s="117"/>
      <c r="AK27" s="117"/>
      <c r="AL27" s="123">
        <v>0</v>
      </c>
      <c r="AM27" s="123">
        <v>0</v>
      </c>
      <c r="AN27" s="123">
        <v>0</v>
      </c>
      <c r="AO27" s="117">
        <v>0</v>
      </c>
      <c r="AP27" s="117">
        <v>0</v>
      </c>
      <c r="AQ27" s="117">
        <v>0</v>
      </c>
      <c r="AR27" s="117">
        <v>0</v>
      </c>
      <c r="AS27" s="123"/>
      <c r="AT27" s="123"/>
      <c r="AU27" s="283"/>
      <c r="AV27" s="252"/>
    </row>
    <row r="28" spans="1:48" s="31" customFormat="1" ht="24">
      <c r="A28" s="222"/>
      <c r="B28" s="223"/>
      <c r="C28" s="229"/>
      <c r="D28" s="229"/>
      <c r="E28" s="109" t="s">
        <v>275</v>
      </c>
      <c r="F28" s="123">
        <f t="shared" si="50"/>
        <v>0</v>
      </c>
      <c r="G28" s="123">
        <f t="shared" si="22"/>
        <v>0</v>
      </c>
      <c r="H28" s="123">
        <f t="shared" si="51"/>
        <v>0</v>
      </c>
      <c r="I28" s="123">
        <f t="shared" si="23"/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23">
        <v>0</v>
      </c>
      <c r="AD28" s="123">
        <v>0</v>
      </c>
      <c r="AE28" s="123">
        <v>0</v>
      </c>
      <c r="AF28" s="117">
        <v>0</v>
      </c>
      <c r="AG28" s="117">
        <v>0</v>
      </c>
      <c r="AH28" s="117">
        <v>0</v>
      </c>
      <c r="AI28" s="117">
        <v>0</v>
      </c>
      <c r="AJ28" s="117"/>
      <c r="AK28" s="117"/>
      <c r="AL28" s="123">
        <v>0</v>
      </c>
      <c r="AM28" s="123">
        <v>0</v>
      </c>
      <c r="AN28" s="123">
        <v>0</v>
      </c>
      <c r="AO28" s="117">
        <v>0</v>
      </c>
      <c r="AP28" s="117">
        <v>0</v>
      </c>
      <c r="AQ28" s="117">
        <v>0</v>
      </c>
      <c r="AR28" s="117">
        <v>0</v>
      </c>
      <c r="AS28" s="123"/>
      <c r="AT28" s="123"/>
      <c r="AU28" s="284"/>
      <c r="AV28" s="253"/>
    </row>
    <row r="29" spans="1:48" s="31" customFormat="1" ht="12.75">
      <c r="A29" s="222" t="s">
        <v>269</v>
      </c>
      <c r="B29" s="223" t="s">
        <v>270</v>
      </c>
      <c r="C29" s="227" t="s">
        <v>306</v>
      </c>
      <c r="D29" s="227" t="s">
        <v>371</v>
      </c>
      <c r="E29" s="107" t="s">
        <v>42</v>
      </c>
      <c r="F29" s="123">
        <f>SUM(F30:F32)</f>
        <v>3</v>
      </c>
      <c r="G29" s="123">
        <f t="shared" si="22"/>
        <v>0</v>
      </c>
      <c r="H29" s="123">
        <f t="shared" ref="H29:R29" si="52">SUM(H30:H32)</f>
        <v>0</v>
      </c>
      <c r="I29" s="123">
        <f t="shared" si="23"/>
        <v>0</v>
      </c>
      <c r="J29" s="123">
        <v>0</v>
      </c>
      <c r="K29" s="123">
        <f t="shared" si="52"/>
        <v>0</v>
      </c>
      <c r="L29" s="123">
        <f t="shared" si="52"/>
        <v>0</v>
      </c>
      <c r="M29" s="123">
        <f t="shared" si="52"/>
        <v>0</v>
      </c>
      <c r="N29" s="123">
        <f t="shared" si="52"/>
        <v>0</v>
      </c>
      <c r="O29" s="123">
        <f t="shared" si="52"/>
        <v>0</v>
      </c>
      <c r="P29" s="123">
        <v>0</v>
      </c>
      <c r="Q29" s="123">
        <f t="shared" si="52"/>
        <v>0</v>
      </c>
      <c r="R29" s="123">
        <f t="shared" si="52"/>
        <v>0</v>
      </c>
      <c r="S29" s="123">
        <v>0</v>
      </c>
      <c r="T29" s="123">
        <f t="shared" ref="T29:AD29" si="53">SUM(T30:T32)</f>
        <v>0</v>
      </c>
      <c r="U29" s="123">
        <f t="shared" si="53"/>
        <v>0</v>
      </c>
      <c r="V29" s="123">
        <v>0</v>
      </c>
      <c r="W29" s="123">
        <f t="shared" si="53"/>
        <v>0</v>
      </c>
      <c r="X29" s="123">
        <f t="shared" si="53"/>
        <v>0</v>
      </c>
      <c r="Y29" s="123">
        <f t="shared" si="53"/>
        <v>0</v>
      </c>
      <c r="Z29" s="123">
        <f t="shared" si="53"/>
        <v>0</v>
      </c>
      <c r="AA29" s="123">
        <f t="shared" si="53"/>
        <v>0</v>
      </c>
      <c r="AB29" s="123">
        <f t="shared" si="53"/>
        <v>0</v>
      </c>
      <c r="AC29" s="104">
        <f t="shared" si="53"/>
        <v>0</v>
      </c>
      <c r="AD29" s="123">
        <f t="shared" si="53"/>
        <v>0</v>
      </c>
      <c r="AE29" s="123">
        <f>SUM(AE30:AE32)</f>
        <v>0</v>
      </c>
      <c r="AF29" s="104">
        <f t="shared" ref="AF29:AT29" si="54">SUM(AF30:AF32)</f>
        <v>0</v>
      </c>
      <c r="AG29" s="104">
        <f t="shared" si="54"/>
        <v>0</v>
      </c>
      <c r="AH29" s="104">
        <f t="shared" si="54"/>
        <v>0</v>
      </c>
      <c r="AI29" s="104">
        <f t="shared" si="54"/>
        <v>3</v>
      </c>
      <c r="AJ29" s="123">
        <f t="shared" si="54"/>
        <v>0</v>
      </c>
      <c r="AK29" s="123">
        <f t="shared" si="54"/>
        <v>0</v>
      </c>
      <c r="AL29" s="123">
        <f t="shared" si="54"/>
        <v>0</v>
      </c>
      <c r="AM29" s="123">
        <f t="shared" si="54"/>
        <v>0</v>
      </c>
      <c r="AN29" s="123">
        <f t="shared" si="54"/>
        <v>0</v>
      </c>
      <c r="AO29" s="104">
        <f t="shared" si="54"/>
        <v>0</v>
      </c>
      <c r="AP29" s="123">
        <f t="shared" si="54"/>
        <v>0</v>
      </c>
      <c r="AQ29" s="123">
        <f t="shared" si="54"/>
        <v>0</v>
      </c>
      <c r="AR29" s="104">
        <f t="shared" si="54"/>
        <v>0</v>
      </c>
      <c r="AS29" s="123">
        <f t="shared" si="54"/>
        <v>0</v>
      </c>
      <c r="AT29" s="123">
        <f t="shared" si="54"/>
        <v>0</v>
      </c>
      <c r="AU29" s="240"/>
      <c r="AV29" s="251"/>
    </row>
    <row r="30" spans="1:48" s="31" customFormat="1" ht="36">
      <c r="A30" s="222"/>
      <c r="B30" s="223"/>
      <c r="C30" s="228"/>
      <c r="D30" s="228"/>
      <c r="E30" s="108" t="s">
        <v>3</v>
      </c>
      <c r="F30" s="123">
        <f>K30+N30+Q30+T30+W30+Z30+AC30+AF30+AI30+AL30+AO30+AR30</f>
        <v>0</v>
      </c>
      <c r="G30" s="123">
        <f t="shared" si="22"/>
        <v>0</v>
      </c>
      <c r="H30" s="123">
        <f>L30+O30+R30+U30+X30+AA30+AD30+AG30+AJ30+AM30+AP30+AS30</f>
        <v>0</v>
      </c>
      <c r="I30" s="123">
        <f t="shared" si="23"/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23">
        <v>0</v>
      </c>
      <c r="AD30" s="123">
        <v>0</v>
      </c>
      <c r="AE30" s="123">
        <v>0</v>
      </c>
      <c r="AF30" s="117">
        <v>0</v>
      </c>
      <c r="AG30" s="117">
        <v>0</v>
      </c>
      <c r="AH30" s="117">
        <v>0</v>
      </c>
      <c r="AI30" s="117">
        <v>0</v>
      </c>
      <c r="AJ30" s="117"/>
      <c r="AK30" s="117"/>
      <c r="AL30" s="123">
        <v>0</v>
      </c>
      <c r="AM30" s="123">
        <v>0</v>
      </c>
      <c r="AN30" s="123">
        <v>0</v>
      </c>
      <c r="AO30" s="117">
        <v>0</v>
      </c>
      <c r="AP30" s="117">
        <v>0</v>
      </c>
      <c r="AQ30" s="117">
        <v>0</v>
      </c>
      <c r="AR30" s="117">
        <v>0</v>
      </c>
      <c r="AS30" s="123"/>
      <c r="AT30" s="123"/>
      <c r="AU30" s="241"/>
      <c r="AV30" s="252"/>
    </row>
    <row r="31" spans="1:48" s="31" customFormat="1" ht="24">
      <c r="A31" s="222"/>
      <c r="B31" s="223"/>
      <c r="C31" s="228"/>
      <c r="D31" s="228"/>
      <c r="E31" s="108" t="s">
        <v>44</v>
      </c>
      <c r="F31" s="123">
        <f t="shared" ref="F31:F32" si="55">K31+N31+Q31+T31+W31+Z31+AC31+AF31+AI31+AL31+AO31+AR31</f>
        <v>0</v>
      </c>
      <c r="G31" s="123">
        <f t="shared" si="22"/>
        <v>0</v>
      </c>
      <c r="H31" s="123">
        <f t="shared" ref="H31:H32" si="56">L31+O31+R31+U31+X31+AA31+AD31+AG31+AJ31+AM31+AP31+AS31</f>
        <v>0</v>
      </c>
      <c r="I31" s="123">
        <f t="shared" si="23"/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23">
        <v>0</v>
      </c>
      <c r="AD31" s="123">
        <v>0</v>
      </c>
      <c r="AE31" s="123">
        <v>0</v>
      </c>
      <c r="AF31" s="117">
        <v>0</v>
      </c>
      <c r="AG31" s="117">
        <v>0</v>
      </c>
      <c r="AH31" s="117">
        <v>0</v>
      </c>
      <c r="AI31" s="117">
        <v>0</v>
      </c>
      <c r="AJ31" s="117"/>
      <c r="AK31" s="117"/>
      <c r="AL31" s="123">
        <v>0</v>
      </c>
      <c r="AM31" s="123">
        <v>0</v>
      </c>
      <c r="AN31" s="123">
        <v>0</v>
      </c>
      <c r="AO31" s="117">
        <v>0</v>
      </c>
      <c r="AP31" s="117">
        <v>0</v>
      </c>
      <c r="AQ31" s="117">
        <v>0</v>
      </c>
      <c r="AR31" s="117">
        <v>0</v>
      </c>
      <c r="AS31" s="123"/>
      <c r="AT31" s="123"/>
      <c r="AU31" s="241"/>
      <c r="AV31" s="252"/>
    </row>
    <row r="32" spans="1:48" s="31" customFormat="1" ht="24">
      <c r="A32" s="222"/>
      <c r="B32" s="223"/>
      <c r="C32" s="229"/>
      <c r="D32" s="229"/>
      <c r="E32" s="109" t="s">
        <v>275</v>
      </c>
      <c r="F32" s="123">
        <f t="shared" si="55"/>
        <v>3</v>
      </c>
      <c r="G32" s="123">
        <f t="shared" si="22"/>
        <v>0</v>
      </c>
      <c r="H32" s="123">
        <f t="shared" si="56"/>
        <v>0</v>
      </c>
      <c r="I32" s="123">
        <f t="shared" si="23"/>
        <v>0</v>
      </c>
      <c r="J32" s="123">
        <v>0</v>
      </c>
      <c r="K32" s="104">
        <v>0</v>
      </c>
      <c r="L32" s="104">
        <v>0</v>
      </c>
      <c r="M32" s="104">
        <v>0</v>
      </c>
      <c r="N32" s="126">
        <v>0</v>
      </c>
      <c r="O32" s="104">
        <v>0</v>
      </c>
      <c r="P32" s="123">
        <v>0</v>
      </c>
      <c r="Q32" s="104">
        <v>0</v>
      </c>
      <c r="R32" s="104">
        <v>0</v>
      </c>
      <c r="S32" s="123">
        <v>0</v>
      </c>
      <c r="T32" s="104">
        <v>0</v>
      </c>
      <c r="U32" s="104">
        <v>0</v>
      </c>
      <c r="V32" s="123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3</v>
      </c>
      <c r="AJ32" s="105">
        <v>0</v>
      </c>
      <c r="AK32" s="105">
        <v>0</v>
      </c>
      <c r="AL32" s="104">
        <v>0</v>
      </c>
      <c r="AM32" s="104">
        <v>0</v>
      </c>
      <c r="AN32" s="104">
        <v>0</v>
      </c>
      <c r="AO32" s="105">
        <v>0</v>
      </c>
      <c r="AP32" s="105">
        <v>0</v>
      </c>
      <c r="AQ32" s="105">
        <v>0</v>
      </c>
      <c r="AR32" s="104">
        <v>0</v>
      </c>
      <c r="AS32" s="104"/>
      <c r="AT32" s="104"/>
      <c r="AU32" s="242"/>
      <c r="AV32" s="253"/>
    </row>
    <row r="33" spans="1:48" s="31" customFormat="1" ht="12.75">
      <c r="A33" s="222" t="s">
        <v>282</v>
      </c>
      <c r="B33" s="223" t="s">
        <v>279</v>
      </c>
      <c r="C33" s="227" t="s">
        <v>307</v>
      </c>
      <c r="D33" s="227" t="s">
        <v>371</v>
      </c>
      <c r="E33" s="107" t="s">
        <v>42</v>
      </c>
      <c r="F33" s="104">
        <f>SUM(F34:F36)</f>
        <v>11.1</v>
      </c>
      <c r="G33" s="123">
        <f t="shared" si="22"/>
        <v>0</v>
      </c>
      <c r="H33" s="104">
        <f t="shared" ref="H33:R33" si="57">SUM(H34:H36)</f>
        <v>0</v>
      </c>
      <c r="I33" s="123">
        <f t="shared" si="23"/>
        <v>0</v>
      </c>
      <c r="J33" s="123">
        <f t="shared" ref="J33:J34" si="58">H33/F33*100</f>
        <v>0</v>
      </c>
      <c r="K33" s="104">
        <f t="shared" si="57"/>
        <v>0</v>
      </c>
      <c r="L33" s="104">
        <f t="shared" si="57"/>
        <v>0</v>
      </c>
      <c r="M33" s="104">
        <f t="shared" si="57"/>
        <v>0</v>
      </c>
      <c r="N33" s="104">
        <f t="shared" si="57"/>
        <v>0</v>
      </c>
      <c r="O33" s="104">
        <f t="shared" si="57"/>
        <v>0</v>
      </c>
      <c r="P33" s="123">
        <v>0</v>
      </c>
      <c r="Q33" s="104">
        <f t="shared" si="57"/>
        <v>0</v>
      </c>
      <c r="R33" s="104">
        <f t="shared" si="57"/>
        <v>0</v>
      </c>
      <c r="S33" s="123">
        <v>0</v>
      </c>
      <c r="T33" s="104">
        <f t="shared" ref="T33:AB33" si="59">SUM(T34:T36)</f>
        <v>0</v>
      </c>
      <c r="U33" s="104">
        <f t="shared" si="59"/>
        <v>0</v>
      </c>
      <c r="V33" s="123">
        <v>0</v>
      </c>
      <c r="W33" s="104">
        <f t="shared" si="59"/>
        <v>0</v>
      </c>
      <c r="X33" s="104">
        <f t="shared" si="59"/>
        <v>0</v>
      </c>
      <c r="Y33" s="104">
        <f t="shared" si="59"/>
        <v>0</v>
      </c>
      <c r="Z33" s="104">
        <f t="shared" si="59"/>
        <v>0</v>
      </c>
      <c r="AA33" s="104">
        <f t="shared" si="59"/>
        <v>0</v>
      </c>
      <c r="AB33" s="104">
        <f t="shared" si="59"/>
        <v>0</v>
      </c>
      <c r="AC33" s="104">
        <f t="shared" ref="AC33:AD33" si="60">SUM(AC34:AC36)</f>
        <v>0</v>
      </c>
      <c r="AD33" s="104">
        <f t="shared" si="60"/>
        <v>0</v>
      </c>
      <c r="AE33" s="104">
        <f>SUM(AE34:AE36)</f>
        <v>0</v>
      </c>
      <c r="AF33" s="104">
        <f t="shared" ref="AF33:AT33" si="61">SUM(AF34:AF36)</f>
        <v>0</v>
      </c>
      <c r="AG33" s="104">
        <f t="shared" si="61"/>
        <v>0</v>
      </c>
      <c r="AH33" s="104">
        <f t="shared" si="61"/>
        <v>0</v>
      </c>
      <c r="AI33" s="104">
        <f t="shared" si="61"/>
        <v>0</v>
      </c>
      <c r="AJ33" s="104">
        <f t="shared" si="61"/>
        <v>0</v>
      </c>
      <c r="AK33" s="104">
        <f t="shared" si="61"/>
        <v>0</v>
      </c>
      <c r="AL33" s="104">
        <f t="shared" si="61"/>
        <v>0</v>
      </c>
      <c r="AM33" s="104">
        <f>AN31</f>
        <v>0</v>
      </c>
      <c r="AN33" s="104">
        <f t="shared" si="61"/>
        <v>0</v>
      </c>
      <c r="AO33" s="104">
        <f t="shared" si="61"/>
        <v>0</v>
      </c>
      <c r="AP33" s="104">
        <f t="shared" si="61"/>
        <v>0</v>
      </c>
      <c r="AQ33" s="104">
        <f t="shared" si="61"/>
        <v>0</v>
      </c>
      <c r="AR33" s="104">
        <f t="shared" si="61"/>
        <v>11.1</v>
      </c>
      <c r="AS33" s="104">
        <f t="shared" si="61"/>
        <v>0</v>
      </c>
      <c r="AT33" s="104">
        <f t="shared" si="61"/>
        <v>0</v>
      </c>
      <c r="AU33" s="240"/>
      <c r="AV33" s="251"/>
    </row>
    <row r="34" spans="1:48" s="31" customFormat="1" ht="36">
      <c r="A34" s="222"/>
      <c r="B34" s="223"/>
      <c r="C34" s="228"/>
      <c r="D34" s="228"/>
      <c r="E34" s="108" t="s">
        <v>3</v>
      </c>
      <c r="F34" s="123">
        <f>K34+N34+Q34+T34+W34+Z34+AC34+AF34+AI34+AL34+AO34+AR34</f>
        <v>11.1</v>
      </c>
      <c r="G34" s="123">
        <f t="shared" si="22"/>
        <v>0</v>
      </c>
      <c r="H34" s="123">
        <f>L34+O34+R34+U34+X34+AA34+AD34+AG34+AJ34+AM34+AP34+AS34</f>
        <v>0</v>
      </c>
      <c r="I34" s="123">
        <f t="shared" si="23"/>
        <v>0</v>
      </c>
      <c r="J34" s="123">
        <f t="shared" si="58"/>
        <v>0</v>
      </c>
      <c r="K34" s="104">
        <v>0</v>
      </c>
      <c r="L34" s="104">
        <v>0</v>
      </c>
      <c r="M34" s="104">
        <v>0</v>
      </c>
      <c r="N34" s="126">
        <v>0</v>
      </c>
      <c r="O34" s="104">
        <v>0</v>
      </c>
      <c r="P34" s="123">
        <v>0</v>
      </c>
      <c r="Q34" s="104">
        <v>0</v>
      </c>
      <c r="R34" s="104">
        <v>0</v>
      </c>
      <c r="S34" s="123">
        <v>0</v>
      </c>
      <c r="T34" s="104">
        <v>0</v>
      </c>
      <c r="U34" s="104">
        <v>0</v>
      </c>
      <c r="V34" s="123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4">
        <v>0</v>
      </c>
      <c r="AM34" s="104">
        <v>0</v>
      </c>
      <c r="AN34" s="104">
        <v>0</v>
      </c>
      <c r="AO34" s="105">
        <v>0</v>
      </c>
      <c r="AP34" s="105">
        <v>0</v>
      </c>
      <c r="AQ34" s="105">
        <v>0</v>
      </c>
      <c r="AR34" s="104">
        <v>11.1</v>
      </c>
      <c r="AS34" s="104"/>
      <c r="AT34" s="104"/>
      <c r="AU34" s="241"/>
      <c r="AV34" s="252"/>
    </row>
    <row r="35" spans="1:48" s="31" customFormat="1" ht="24">
      <c r="A35" s="222"/>
      <c r="B35" s="223"/>
      <c r="C35" s="228"/>
      <c r="D35" s="228"/>
      <c r="E35" s="108" t="s">
        <v>44</v>
      </c>
      <c r="F35" s="123">
        <f t="shared" ref="F35:F36" si="62">K35+N35+Q35+T35+W35+Z35+AC35+AF35+AI35+AL35+AO35+AR35</f>
        <v>0</v>
      </c>
      <c r="G35" s="123">
        <f t="shared" si="22"/>
        <v>0</v>
      </c>
      <c r="H35" s="123">
        <f t="shared" ref="H35:H36" si="63">L35+O35+R35+U35+X35+AA35+AD35+AG35+AJ35+AM35+AP35+AS35</f>
        <v>0</v>
      </c>
      <c r="I35" s="123">
        <f t="shared" si="23"/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23">
        <v>0</v>
      </c>
      <c r="Q35" s="104">
        <v>0</v>
      </c>
      <c r="R35" s="104">
        <v>0</v>
      </c>
      <c r="S35" s="123">
        <v>0</v>
      </c>
      <c r="T35" s="104">
        <v>0</v>
      </c>
      <c r="U35" s="104">
        <v>0</v>
      </c>
      <c r="V35" s="123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/>
      <c r="AH35" s="105"/>
      <c r="AI35" s="105">
        <v>0</v>
      </c>
      <c r="AJ35" s="105"/>
      <c r="AK35" s="105"/>
      <c r="AL35" s="104">
        <v>0</v>
      </c>
      <c r="AM35" s="104"/>
      <c r="AN35" s="104"/>
      <c r="AO35" s="105">
        <v>0</v>
      </c>
      <c r="AP35" s="105">
        <v>0</v>
      </c>
      <c r="AQ35" s="105">
        <v>0</v>
      </c>
      <c r="AR35" s="104">
        <v>0</v>
      </c>
      <c r="AS35" s="104"/>
      <c r="AT35" s="104"/>
      <c r="AU35" s="241"/>
      <c r="AV35" s="252"/>
    </row>
    <row r="36" spans="1:48" s="31" customFormat="1" ht="24">
      <c r="A36" s="222"/>
      <c r="B36" s="223"/>
      <c r="C36" s="229"/>
      <c r="D36" s="229"/>
      <c r="E36" s="109" t="s">
        <v>275</v>
      </c>
      <c r="F36" s="123">
        <f t="shared" si="62"/>
        <v>0</v>
      </c>
      <c r="G36" s="123">
        <f t="shared" si="22"/>
        <v>0</v>
      </c>
      <c r="H36" s="123">
        <f t="shared" si="63"/>
        <v>0</v>
      </c>
      <c r="I36" s="123">
        <f t="shared" si="23"/>
        <v>0</v>
      </c>
      <c r="J36" s="123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23">
        <v>0</v>
      </c>
      <c r="Q36" s="104">
        <v>0</v>
      </c>
      <c r="R36" s="104">
        <v>0</v>
      </c>
      <c r="S36" s="123">
        <v>0</v>
      </c>
      <c r="T36" s="104">
        <v>0</v>
      </c>
      <c r="U36" s="104">
        <v>0</v>
      </c>
      <c r="V36" s="123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23">
        <v>0</v>
      </c>
      <c r="AD36" s="123">
        <v>0</v>
      </c>
      <c r="AE36" s="123">
        <v>0</v>
      </c>
      <c r="AF36" s="117">
        <v>0</v>
      </c>
      <c r="AG36" s="117">
        <v>0</v>
      </c>
      <c r="AH36" s="117">
        <v>0</v>
      </c>
      <c r="AI36" s="117">
        <v>0</v>
      </c>
      <c r="AJ36" s="105"/>
      <c r="AK36" s="105"/>
      <c r="AL36" s="123">
        <v>0</v>
      </c>
      <c r="AM36" s="123">
        <v>0</v>
      </c>
      <c r="AN36" s="123">
        <v>0</v>
      </c>
      <c r="AO36" s="117">
        <v>0</v>
      </c>
      <c r="AP36" s="117">
        <v>0</v>
      </c>
      <c r="AQ36" s="117">
        <v>0</v>
      </c>
      <c r="AR36" s="117">
        <v>0</v>
      </c>
      <c r="AS36" s="104"/>
      <c r="AT36" s="104"/>
      <c r="AU36" s="242"/>
      <c r="AV36" s="253"/>
    </row>
    <row r="37" spans="1:48" s="31" customFormat="1" ht="72.75" customHeight="1">
      <c r="A37" s="222" t="s">
        <v>280</v>
      </c>
      <c r="B37" s="223" t="s">
        <v>281</v>
      </c>
      <c r="C37" s="227" t="s">
        <v>308</v>
      </c>
      <c r="D37" s="227">
        <v>11</v>
      </c>
      <c r="E37" s="107" t="s">
        <v>42</v>
      </c>
      <c r="F37" s="123">
        <f>SUM(F38:F40)</f>
        <v>15177.9</v>
      </c>
      <c r="G37" s="123">
        <f t="shared" si="22"/>
        <v>7388.1999999999989</v>
      </c>
      <c r="H37" s="123">
        <f t="shared" ref="H37:R37" si="64">SUM(H38:H40)</f>
        <v>6565.2999999999993</v>
      </c>
      <c r="I37" s="123">
        <f t="shared" si="23"/>
        <v>4761.2</v>
      </c>
      <c r="J37" s="123">
        <f t="shared" ref="J37:J38" si="65">H37/F37*100</f>
        <v>43.255654603074198</v>
      </c>
      <c r="K37" s="123">
        <f t="shared" si="64"/>
        <v>541.5</v>
      </c>
      <c r="L37" s="123">
        <f t="shared" si="64"/>
        <v>460.3</v>
      </c>
      <c r="M37" s="123">
        <f t="shared" ref="M37:M38" si="66">L37/K37*100</f>
        <v>85.004616805170812</v>
      </c>
      <c r="N37" s="123">
        <f t="shared" si="64"/>
        <v>1654</v>
      </c>
      <c r="O37" s="123">
        <f t="shared" si="64"/>
        <v>1555.8</v>
      </c>
      <c r="P37" s="123">
        <f t="shared" si="26"/>
        <v>94.062877871825876</v>
      </c>
      <c r="Q37" s="123">
        <f t="shared" si="64"/>
        <v>1233.5</v>
      </c>
      <c r="R37" s="123">
        <f t="shared" si="64"/>
        <v>1030.0999999999999</v>
      </c>
      <c r="S37" s="123">
        <f t="shared" si="27"/>
        <v>83.510336441021465</v>
      </c>
      <c r="T37" s="123">
        <f t="shared" ref="T37:AD37" si="67">SUM(T38:T40)</f>
        <v>1765.9</v>
      </c>
      <c r="U37" s="123">
        <f t="shared" si="67"/>
        <v>1715</v>
      </c>
      <c r="V37" s="123">
        <f t="shared" si="28"/>
        <v>97.117617079109792</v>
      </c>
      <c r="W37" s="123">
        <f t="shared" si="67"/>
        <v>989.9</v>
      </c>
      <c r="X37" s="123">
        <f t="shared" si="67"/>
        <v>903.4</v>
      </c>
      <c r="Y37" s="123">
        <f t="shared" ref="Y37:Y38" si="68">X37/W37*100</f>
        <v>91.2617436104657</v>
      </c>
      <c r="Z37" s="123">
        <f t="shared" si="67"/>
        <v>1203.4000000000001</v>
      </c>
      <c r="AA37" s="123">
        <f t="shared" si="67"/>
        <v>900.7</v>
      </c>
      <c r="AB37" s="123">
        <f t="shared" si="67"/>
        <v>0</v>
      </c>
      <c r="AC37" s="104">
        <f t="shared" si="67"/>
        <v>2321.4</v>
      </c>
      <c r="AD37" s="123">
        <f t="shared" si="67"/>
        <v>0</v>
      </c>
      <c r="AE37" s="123">
        <f>SUM(AE38:AE40)</f>
        <v>0</v>
      </c>
      <c r="AF37" s="104">
        <f t="shared" ref="AF37:AT37" si="69">SUM(AF38:AF40)</f>
        <v>1320.6000000000001</v>
      </c>
      <c r="AG37" s="104">
        <f t="shared" si="69"/>
        <v>0</v>
      </c>
      <c r="AH37" s="104">
        <f t="shared" si="69"/>
        <v>0</v>
      </c>
      <c r="AI37" s="104">
        <f t="shared" si="69"/>
        <v>677.6</v>
      </c>
      <c r="AJ37" s="123">
        <f t="shared" si="69"/>
        <v>0</v>
      </c>
      <c r="AK37" s="123">
        <f t="shared" si="69"/>
        <v>0</v>
      </c>
      <c r="AL37" s="123">
        <f t="shared" si="69"/>
        <v>1425.1999999999998</v>
      </c>
      <c r="AM37" s="123">
        <f t="shared" si="69"/>
        <v>0</v>
      </c>
      <c r="AN37" s="123">
        <f t="shared" si="69"/>
        <v>0</v>
      </c>
      <c r="AO37" s="104">
        <f t="shared" si="69"/>
        <v>703.1</v>
      </c>
      <c r="AP37" s="123">
        <f t="shared" si="69"/>
        <v>0</v>
      </c>
      <c r="AQ37" s="123">
        <f t="shared" si="69"/>
        <v>0</v>
      </c>
      <c r="AR37" s="104">
        <f t="shared" si="69"/>
        <v>1341.8</v>
      </c>
      <c r="AS37" s="123">
        <f t="shared" si="69"/>
        <v>0</v>
      </c>
      <c r="AT37" s="123">
        <f t="shared" si="69"/>
        <v>0</v>
      </c>
      <c r="AU37" s="300" t="s">
        <v>377</v>
      </c>
      <c r="AV37" s="285" t="s">
        <v>378</v>
      </c>
    </row>
    <row r="38" spans="1:48" s="31" customFormat="1" ht="64.5" customHeight="1">
      <c r="A38" s="222"/>
      <c r="B38" s="223"/>
      <c r="C38" s="228"/>
      <c r="D38" s="228"/>
      <c r="E38" s="108" t="s">
        <v>3</v>
      </c>
      <c r="F38" s="123">
        <f>K38+N38+Q38+T38+W38+Z38+AC38+AF38+AI38+AL38+AO38+AR38</f>
        <v>15177.9</v>
      </c>
      <c r="G38" s="123">
        <f t="shared" si="22"/>
        <v>7388.1999999999989</v>
      </c>
      <c r="H38" s="123">
        <f>L38+O38+R38+U38+X38+AA38+AD38+AG38+AJ38+AM38+AP38+AS38</f>
        <v>6565.2999999999993</v>
      </c>
      <c r="I38" s="123">
        <f t="shared" si="23"/>
        <v>4761.2</v>
      </c>
      <c r="J38" s="123">
        <f t="shared" si="65"/>
        <v>43.255654603074198</v>
      </c>
      <c r="K38" s="104">
        <f>540.5+1</f>
        <v>541.5</v>
      </c>
      <c r="L38" s="104">
        <v>460.3</v>
      </c>
      <c r="M38" s="123">
        <f t="shared" si="66"/>
        <v>85.004616805170812</v>
      </c>
      <c r="N38" s="126">
        <f>1635.9+18.1</f>
        <v>1654</v>
      </c>
      <c r="O38" s="104">
        <v>1555.8</v>
      </c>
      <c r="P38" s="123">
        <f t="shared" si="26"/>
        <v>94.062877871825876</v>
      </c>
      <c r="Q38" s="104">
        <f>1074.9+8.1+150.5</f>
        <v>1233.5</v>
      </c>
      <c r="R38" s="104">
        <v>1030.0999999999999</v>
      </c>
      <c r="S38" s="123">
        <f t="shared" si="27"/>
        <v>83.510336441021465</v>
      </c>
      <c r="T38" s="104">
        <v>1765.9</v>
      </c>
      <c r="U38" s="104">
        <v>1715</v>
      </c>
      <c r="V38" s="123">
        <f t="shared" si="28"/>
        <v>97.117617079109792</v>
      </c>
      <c r="W38" s="105">
        <v>989.9</v>
      </c>
      <c r="X38" s="105">
        <v>903.4</v>
      </c>
      <c r="Y38" s="123">
        <f t="shared" si="68"/>
        <v>91.2617436104657</v>
      </c>
      <c r="Z38" s="105">
        <v>1203.4000000000001</v>
      </c>
      <c r="AA38" s="105">
        <v>900.7</v>
      </c>
      <c r="AB38" s="105">
        <v>0</v>
      </c>
      <c r="AC38" s="105">
        <f>2364.8+14.1-57.5</f>
        <v>2321.4</v>
      </c>
      <c r="AD38" s="105">
        <v>0</v>
      </c>
      <c r="AE38" s="105">
        <v>0</v>
      </c>
      <c r="AF38" s="105">
        <f>1307.4+6.2+7</f>
        <v>1320.6000000000001</v>
      </c>
      <c r="AG38" s="105">
        <v>0</v>
      </c>
      <c r="AH38" s="105">
        <v>0</v>
      </c>
      <c r="AI38" s="105">
        <v>677.6</v>
      </c>
      <c r="AJ38" s="105">
        <v>0</v>
      </c>
      <c r="AK38" s="105">
        <v>0</v>
      </c>
      <c r="AL38" s="104">
        <f>1390.1+10.1+25</f>
        <v>1425.1999999999998</v>
      </c>
      <c r="AM38" s="104">
        <v>0</v>
      </c>
      <c r="AN38" s="104">
        <v>0</v>
      </c>
      <c r="AO38" s="105">
        <f>810.1+19.2-126.2</f>
        <v>703.1</v>
      </c>
      <c r="AP38" s="105">
        <v>0</v>
      </c>
      <c r="AQ38" s="105">
        <v>0</v>
      </c>
      <c r="AR38" s="104">
        <v>1341.8</v>
      </c>
      <c r="AS38" s="104"/>
      <c r="AT38" s="104"/>
      <c r="AU38" s="301"/>
      <c r="AV38" s="286"/>
    </row>
    <row r="39" spans="1:48" s="31" customFormat="1" ht="67.5" customHeight="1">
      <c r="A39" s="222"/>
      <c r="B39" s="223"/>
      <c r="C39" s="228"/>
      <c r="D39" s="228"/>
      <c r="E39" s="108" t="s">
        <v>44</v>
      </c>
      <c r="F39" s="123">
        <f t="shared" ref="F39:F40" si="70">K39+N39+Q39+T39+W39+Z39+AC39+AF39+AI39+AL39+AO39+AR39</f>
        <v>0</v>
      </c>
      <c r="G39" s="123">
        <f t="shared" si="22"/>
        <v>0</v>
      </c>
      <c r="H39" s="123">
        <f t="shared" ref="H39:H40" si="71">L39+O39+R39+U39+X39+AA39+AD39+AG39+AJ39+AM39+AP39+AS39</f>
        <v>0</v>
      </c>
      <c r="I39" s="123">
        <f t="shared" si="23"/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23">
        <v>0</v>
      </c>
      <c r="AD39" s="123">
        <v>0</v>
      </c>
      <c r="AE39" s="123">
        <v>0</v>
      </c>
      <c r="AF39" s="117">
        <v>0</v>
      </c>
      <c r="AG39" s="117">
        <v>0</v>
      </c>
      <c r="AH39" s="117">
        <v>0</v>
      </c>
      <c r="AI39" s="117">
        <v>0</v>
      </c>
      <c r="AJ39" s="117"/>
      <c r="AK39" s="117"/>
      <c r="AL39" s="123">
        <v>0</v>
      </c>
      <c r="AM39" s="123">
        <v>0</v>
      </c>
      <c r="AN39" s="123">
        <v>0</v>
      </c>
      <c r="AO39" s="117">
        <v>0</v>
      </c>
      <c r="AP39" s="117">
        <v>0</v>
      </c>
      <c r="AQ39" s="117">
        <v>0</v>
      </c>
      <c r="AR39" s="117">
        <v>0</v>
      </c>
      <c r="AS39" s="123"/>
      <c r="AT39" s="123"/>
      <c r="AU39" s="301"/>
      <c r="AV39" s="286"/>
    </row>
    <row r="40" spans="1:48" s="31" customFormat="1" ht="72" customHeight="1">
      <c r="A40" s="222"/>
      <c r="B40" s="223"/>
      <c r="C40" s="229"/>
      <c r="D40" s="229"/>
      <c r="E40" s="109" t="s">
        <v>275</v>
      </c>
      <c r="F40" s="123">
        <f t="shared" si="70"/>
        <v>0</v>
      </c>
      <c r="G40" s="123">
        <f t="shared" si="22"/>
        <v>0</v>
      </c>
      <c r="H40" s="123">
        <f t="shared" si="71"/>
        <v>0</v>
      </c>
      <c r="I40" s="123">
        <f t="shared" si="23"/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23">
        <v>0</v>
      </c>
      <c r="AD40" s="123">
        <v>0</v>
      </c>
      <c r="AE40" s="123">
        <v>0</v>
      </c>
      <c r="AF40" s="117">
        <v>0</v>
      </c>
      <c r="AG40" s="117">
        <v>0</v>
      </c>
      <c r="AH40" s="117">
        <v>0</v>
      </c>
      <c r="AI40" s="117">
        <v>0</v>
      </c>
      <c r="AJ40" s="117"/>
      <c r="AK40" s="117"/>
      <c r="AL40" s="123">
        <v>0</v>
      </c>
      <c r="AM40" s="123">
        <v>0</v>
      </c>
      <c r="AN40" s="123">
        <v>0</v>
      </c>
      <c r="AO40" s="117">
        <v>0</v>
      </c>
      <c r="AP40" s="117">
        <v>0</v>
      </c>
      <c r="AQ40" s="117">
        <v>0</v>
      </c>
      <c r="AR40" s="117">
        <v>0</v>
      </c>
      <c r="AS40" s="123"/>
      <c r="AT40" s="123"/>
      <c r="AU40" s="302"/>
      <c r="AV40" s="287"/>
    </row>
    <row r="41" spans="1:48" s="31" customFormat="1" ht="12.75">
      <c r="A41" s="222" t="s">
        <v>288</v>
      </c>
      <c r="B41" s="223" t="s">
        <v>289</v>
      </c>
      <c r="C41" s="227" t="s">
        <v>309</v>
      </c>
      <c r="D41" s="227" t="s">
        <v>371</v>
      </c>
      <c r="E41" s="107" t="s">
        <v>42</v>
      </c>
      <c r="F41" s="123">
        <f>SUM(F42:F44)</f>
        <v>36.1</v>
      </c>
      <c r="G41" s="123">
        <f t="shared" si="22"/>
        <v>0</v>
      </c>
      <c r="H41" s="123">
        <f t="shared" ref="H41:R41" si="72">SUM(H42:H44)</f>
        <v>0</v>
      </c>
      <c r="I41" s="123">
        <f t="shared" si="23"/>
        <v>0</v>
      </c>
      <c r="J41" s="123">
        <f t="shared" si="72"/>
        <v>0</v>
      </c>
      <c r="K41" s="123">
        <f t="shared" si="72"/>
        <v>0</v>
      </c>
      <c r="L41" s="123">
        <f t="shared" si="72"/>
        <v>0</v>
      </c>
      <c r="M41" s="123">
        <f t="shared" si="72"/>
        <v>0</v>
      </c>
      <c r="N41" s="123">
        <f t="shared" si="72"/>
        <v>0</v>
      </c>
      <c r="O41" s="123">
        <f t="shared" si="72"/>
        <v>0</v>
      </c>
      <c r="P41" s="123">
        <v>0</v>
      </c>
      <c r="Q41" s="123">
        <f t="shared" si="72"/>
        <v>0</v>
      </c>
      <c r="R41" s="123">
        <f t="shared" si="72"/>
        <v>0</v>
      </c>
      <c r="S41" s="123">
        <v>0</v>
      </c>
      <c r="T41" s="123">
        <f t="shared" ref="T41:AD41" si="73">SUM(T42:T44)</f>
        <v>0</v>
      </c>
      <c r="U41" s="123">
        <f t="shared" si="73"/>
        <v>0</v>
      </c>
      <c r="V41" s="123">
        <v>0</v>
      </c>
      <c r="W41" s="123">
        <f t="shared" si="73"/>
        <v>0</v>
      </c>
      <c r="X41" s="123">
        <f t="shared" si="73"/>
        <v>0</v>
      </c>
      <c r="Y41" s="123">
        <v>0</v>
      </c>
      <c r="Z41" s="123">
        <f t="shared" si="73"/>
        <v>0</v>
      </c>
      <c r="AA41" s="123">
        <f t="shared" si="73"/>
        <v>0</v>
      </c>
      <c r="AB41" s="123">
        <f t="shared" si="73"/>
        <v>0</v>
      </c>
      <c r="AC41" s="104">
        <f t="shared" si="73"/>
        <v>0</v>
      </c>
      <c r="AD41" s="123">
        <f t="shared" si="73"/>
        <v>0</v>
      </c>
      <c r="AE41" s="123">
        <f>SUM(AE42:AE44)</f>
        <v>0</v>
      </c>
      <c r="AF41" s="104">
        <f t="shared" ref="AF41:AT41" si="74">SUM(AF42:AF44)</f>
        <v>0</v>
      </c>
      <c r="AG41" s="104">
        <f t="shared" si="74"/>
        <v>0</v>
      </c>
      <c r="AH41" s="104">
        <f t="shared" si="74"/>
        <v>0</v>
      </c>
      <c r="AI41" s="104">
        <f t="shared" si="74"/>
        <v>0</v>
      </c>
      <c r="AJ41" s="123">
        <f t="shared" si="74"/>
        <v>0</v>
      </c>
      <c r="AK41" s="123">
        <f t="shared" si="74"/>
        <v>0</v>
      </c>
      <c r="AL41" s="123">
        <f t="shared" si="74"/>
        <v>19.8</v>
      </c>
      <c r="AM41" s="123">
        <f t="shared" si="74"/>
        <v>0</v>
      </c>
      <c r="AN41" s="123">
        <f t="shared" si="74"/>
        <v>0</v>
      </c>
      <c r="AO41" s="104">
        <f t="shared" si="74"/>
        <v>16.3</v>
      </c>
      <c r="AP41" s="123">
        <f t="shared" si="74"/>
        <v>0</v>
      </c>
      <c r="AQ41" s="123">
        <f t="shared" si="74"/>
        <v>0</v>
      </c>
      <c r="AR41" s="104">
        <f t="shared" si="74"/>
        <v>0</v>
      </c>
      <c r="AS41" s="123">
        <f t="shared" si="74"/>
        <v>0</v>
      </c>
      <c r="AT41" s="123">
        <f t="shared" si="74"/>
        <v>0</v>
      </c>
      <c r="AU41" s="240"/>
      <c r="AV41" s="251"/>
    </row>
    <row r="42" spans="1:48" s="31" customFormat="1" ht="36">
      <c r="A42" s="222"/>
      <c r="B42" s="223"/>
      <c r="C42" s="228"/>
      <c r="D42" s="228"/>
      <c r="E42" s="108" t="s">
        <v>3</v>
      </c>
      <c r="F42" s="123">
        <f>K42+N42+Q42+T42+W42+Z42+AC42+AF42+AI42+AL42+AO42+AR42</f>
        <v>36.1</v>
      </c>
      <c r="G42" s="123">
        <f t="shared" si="22"/>
        <v>0</v>
      </c>
      <c r="H42" s="123">
        <f>L42+O42+R42+U42+X42+AA42+AD42+AG42+AJ42+AM42+AP42+AS42</f>
        <v>0</v>
      </c>
      <c r="I42" s="123">
        <f t="shared" si="23"/>
        <v>0</v>
      </c>
      <c r="J42" s="123">
        <f t="shared" ref="J42" si="75">H42/F42*100</f>
        <v>0</v>
      </c>
      <c r="K42" s="104">
        <v>0</v>
      </c>
      <c r="L42" s="104">
        <v>0</v>
      </c>
      <c r="M42" s="104">
        <v>0</v>
      </c>
      <c r="N42" s="126">
        <v>0</v>
      </c>
      <c r="O42" s="104">
        <v>0</v>
      </c>
      <c r="P42" s="123">
        <v>0</v>
      </c>
      <c r="Q42" s="104">
        <v>0</v>
      </c>
      <c r="R42" s="104">
        <v>0</v>
      </c>
      <c r="S42" s="123">
        <v>0</v>
      </c>
      <c r="T42" s="104">
        <v>0</v>
      </c>
      <c r="U42" s="104">
        <v>0</v>
      </c>
      <c r="V42" s="123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4">
        <v>19.8</v>
      </c>
      <c r="AM42" s="104">
        <v>0</v>
      </c>
      <c r="AN42" s="104">
        <v>0</v>
      </c>
      <c r="AO42" s="105">
        <v>16.3</v>
      </c>
      <c r="AP42" s="105">
        <v>0</v>
      </c>
      <c r="AQ42" s="105">
        <v>0</v>
      </c>
      <c r="AR42" s="104">
        <v>0</v>
      </c>
      <c r="AS42" s="104"/>
      <c r="AT42" s="104"/>
      <c r="AU42" s="241"/>
      <c r="AV42" s="252"/>
    </row>
    <row r="43" spans="1:48" s="31" customFormat="1" ht="24">
      <c r="A43" s="222"/>
      <c r="B43" s="223"/>
      <c r="C43" s="228"/>
      <c r="D43" s="228"/>
      <c r="E43" s="108" t="s">
        <v>44</v>
      </c>
      <c r="F43" s="123">
        <f t="shared" ref="F43:F44" si="76">K43+N43+Q43+T43+W43+Z43+AC43+AF43+AI43+AL43+AO43+AR43</f>
        <v>0</v>
      </c>
      <c r="G43" s="123">
        <f t="shared" si="22"/>
        <v>0</v>
      </c>
      <c r="H43" s="123">
        <f t="shared" ref="H43:H44" si="77">L43+O43+R43+U43+X43+AA43+AD43+AG43+AJ43+AM43+AP43+AS43</f>
        <v>0</v>
      </c>
      <c r="I43" s="123">
        <f t="shared" si="23"/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23">
        <v>0</v>
      </c>
      <c r="AD43" s="123">
        <v>0</v>
      </c>
      <c r="AE43" s="123">
        <v>0</v>
      </c>
      <c r="AF43" s="117">
        <v>0</v>
      </c>
      <c r="AG43" s="117">
        <v>0</v>
      </c>
      <c r="AH43" s="117">
        <v>0</v>
      </c>
      <c r="AI43" s="117">
        <v>0</v>
      </c>
      <c r="AJ43" s="117"/>
      <c r="AK43" s="117"/>
      <c r="AL43" s="123">
        <v>0</v>
      </c>
      <c r="AM43" s="123">
        <v>0</v>
      </c>
      <c r="AN43" s="123">
        <v>0</v>
      </c>
      <c r="AO43" s="117">
        <v>0</v>
      </c>
      <c r="AP43" s="117">
        <v>0</v>
      </c>
      <c r="AQ43" s="117">
        <v>0</v>
      </c>
      <c r="AR43" s="117">
        <v>0</v>
      </c>
      <c r="AS43" s="123"/>
      <c r="AT43" s="123"/>
      <c r="AU43" s="241"/>
      <c r="AV43" s="252"/>
    </row>
    <row r="44" spans="1:48" s="31" customFormat="1" ht="24">
      <c r="A44" s="222"/>
      <c r="B44" s="223"/>
      <c r="C44" s="229"/>
      <c r="D44" s="229"/>
      <c r="E44" s="109" t="s">
        <v>275</v>
      </c>
      <c r="F44" s="123">
        <f t="shared" si="76"/>
        <v>0</v>
      </c>
      <c r="G44" s="123">
        <f t="shared" si="22"/>
        <v>0</v>
      </c>
      <c r="H44" s="123">
        <f t="shared" si="77"/>
        <v>0</v>
      </c>
      <c r="I44" s="123">
        <f t="shared" si="23"/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23">
        <v>0</v>
      </c>
      <c r="AD44" s="123">
        <v>0</v>
      </c>
      <c r="AE44" s="123">
        <v>0</v>
      </c>
      <c r="AF44" s="117">
        <v>0</v>
      </c>
      <c r="AG44" s="117">
        <v>0</v>
      </c>
      <c r="AH44" s="117">
        <v>0</v>
      </c>
      <c r="AI44" s="117">
        <v>0</v>
      </c>
      <c r="AJ44" s="117"/>
      <c r="AK44" s="117"/>
      <c r="AL44" s="123">
        <v>0</v>
      </c>
      <c r="AM44" s="123">
        <v>0</v>
      </c>
      <c r="AN44" s="123">
        <v>0</v>
      </c>
      <c r="AO44" s="117">
        <v>0</v>
      </c>
      <c r="AP44" s="117">
        <v>0</v>
      </c>
      <c r="AQ44" s="117">
        <v>0</v>
      </c>
      <c r="AR44" s="117">
        <v>0</v>
      </c>
      <c r="AS44" s="123"/>
      <c r="AT44" s="123"/>
      <c r="AU44" s="242"/>
      <c r="AV44" s="253"/>
    </row>
    <row r="45" spans="1:48" s="31" customFormat="1" ht="12.75">
      <c r="A45" s="222" t="s">
        <v>290</v>
      </c>
      <c r="B45" s="223" t="s">
        <v>291</v>
      </c>
      <c r="C45" s="227" t="s">
        <v>310</v>
      </c>
      <c r="D45" s="227" t="s">
        <v>371</v>
      </c>
      <c r="E45" s="107" t="s">
        <v>42</v>
      </c>
      <c r="F45" s="123">
        <f>SUM(F46:F48)</f>
        <v>823.9</v>
      </c>
      <c r="G45" s="123">
        <f t="shared" si="22"/>
        <v>0</v>
      </c>
      <c r="H45" s="123">
        <f t="shared" ref="H45:R45" si="78">SUM(H46:H48)</f>
        <v>0</v>
      </c>
      <c r="I45" s="123">
        <f t="shared" si="23"/>
        <v>0</v>
      </c>
      <c r="J45" s="123">
        <f t="shared" ref="J45:J46" si="79">H45/F45*100</f>
        <v>0</v>
      </c>
      <c r="K45" s="123">
        <f t="shared" si="78"/>
        <v>0</v>
      </c>
      <c r="L45" s="123">
        <f t="shared" si="78"/>
        <v>0</v>
      </c>
      <c r="M45" s="123">
        <f t="shared" si="78"/>
        <v>0</v>
      </c>
      <c r="N45" s="123">
        <f t="shared" si="78"/>
        <v>0</v>
      </c>
      <c r="O45" s="123">
        <f t="shared" si="78"/>
        <v>0</v>
      </c>
      <c r="P45" s="123">
        <v>0</v>
      </c>
      <c r="Q45" s="123">
        <f t="shared" si="78"/>
        <v>0</v>
      </c>
      <c r="R45" s="123">
        <f t="shared" si="78"/>
        <v>0</v>
      </c>
      <c r="S45" s="123">
        <v>0</v>
      </c>
      <c r="T45" s="123">
        <f t="shared" ref="T45:AB45" si="80">SUM(T46:T48)</f>
        <v>0</v>
      </c>
      <c r="U45" s="123">
        <f t="shared" si="80"/>
        <v>0</v>
      </c>
      <c r="V45" s="123">
        <v>0</v>
      </c>
      <c r="W45" s="123">
        <f t="shared" si="80"/>
        <v>0</v>
      </c>
      <c r="X45" s="123">
        <f t="shared" si="80"/>
        <v>0</v>
      </c>
      <c r="Y45" s="123">
        <f t="shared" si="80"/>
        <v>0</v>
      </c>
      <c r="Z45" s="123">
        <f t="shared" si="80"/>
        <v>0</v>
      </c>
      <c r="AA45" s="123">
        <f t="shared" si="80"/>
        <v>0</v>
      </c>
      <c r="AB45" s="123">
        <f t="shared" si="80"/>
        <v>0</v>
      </c>
      <c r="AC45" s="104">
        <f t="shared" ref="AC45:AD45" si="81">SUM(AC46:AC48)</f>
        <v>0</v>
      </c>
      <c r="AD45" s="123">
        <f t="shared" si="81"/>
        <v>0</v>
      </c>
      <c r="AE45" s="123">
        <f>SUM(AE46:AE48)</f>
        <v>0</v>
      </c>
      <c r="AF45" s="104">
        <f t="shared" ref="AF45:AT45" si="82">SUM(AF46:AF48)</f>
        <v>0</v>
      </c>
      <c r="AG45" s="104">
        <f t="shared" si="82"/>
        <v>0</v>
      </c>
      <c r="AH45" s="104">
        <f t="shared" si="82"/>
        <v>0</v>
      </c>
      <c r="AI45" s="104">
        <f t="shared" si="82"/>
        <v>0</v>
      </c>
      <c r="AJ45" s="123">
        <f t="shared" si="82"/>
        <v>0</v>
      </c>
      <c r="AK45" s="123">
        <f t="shared" si="82"/>
        <v>0</v>
      </c>
      <c r="AL45" s="123">
        <f t="shared" si="82"/>
        <v>823.9</v>
      </c>
      <c r="AM45" s="123">
        <f t="shared" si="82"/>
        <v>0</v>
      </c>
      <c r="AN45" s="123">
        <f t="shared" si="82"/>
        <v>0</v>
      </c>
      <c r="AO45" s="104">
        <f t="shared" si="82"/>
        <v>0</v>
      </c>
      <c r="AP45" s="123">
        <f t="shared" si="82"/>
        <v>0</v>
      </c>
      <c r="AQ45" s="123">
        <f t="shared" si="82"/>
        <v>0</v>
      </c>
      <c r="AR45" s="104">
        <f t="shared" si="82"/>
        <v>0</v>
      </c>
      <c r="AS45" s="123">
        <f t="shared" si="82"/>
        <v>0</v>
      </c>
      <c r="AT45" s="123">
        <f t="shared" si="82"/>
        <v>0</v>
      </c>
      <c r="AU45" s="282" t="s">
        <v>396</v>
      </c>
      <c r="AV45" s="251"/>
    </row>
    <row r="46" spans="1:48" s="31" customFormat="1" ht="36">
      <c r="A46" s="222"/>
      <c r="B46" s="223"/>
      <c r="C46" s="228"/>
      <c r="D46" s="228"/>
      <c r="E46" s="108" t="s">
        <v>3</v>
      </c>
      <c r="F46" s="123">
        <f>K46+N46+Q46+T46+W46+Z46+AC46+AF46+AI46+AL46+AO46+AR46</f>
        <v>823.9</v>
      </c>
      <c r="G46" s="123">
        <f t="shared" si="22"/>
        <v>0</v>
      </c>
      <c r="H46" s="123">
        <f>L46+O46+R46+U46+X46+AA46+AD46+AG46+AJ46+AM46+AP46+AS46</f>
        <v>0</v>
      </c>
      <c r="I46" s="123">
        <f t="shared" si="23"/>
        <v>0</v>
      </c>
      <c r="J46" s="123">
        <f t="shared" si="79"/>
        <v>0</v>
      </c>
      <c r="K46" s="104">
        <v>0</v>
      </c>
      <c r="L46" s="104">
        <v>0</v>
      </c>
      <c r="M46" s="104">
        <v>0</v>
      </c>
      <c r="N46" s="126">
        <v>0</v>
      </c>
      <c r="O46" s="104">
        <v>0</v>
      </c>
      <c r="P46" s="123">
        <v>0</v>
      </c>
      <c r="Q46" s="104">
        <v>0</v>
      </c>
      <c r="R46" s="104">
        <v>0</v>
      </c>
      <c r="S46" s="123">
        <v>0</v>
      </c>
      <c r="T46" s="104">
        <f>17-17</f>
        <v>0</v>
      </c>
      <c r="U46" s="104">
        <v>0</v>
      </c>
      <c r="V46" s="123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4">
        <v>823.9</v>
      </c>
      <c r="AM46" s="104">
        <v>0</v>
      </c>
      <c r="AN46" s="104">
        <v>0</v>
      </c>
      <c r="AO46" s="105">
        <v>0</v>
      </c>
      <c r="AP46" s="105">
        <v>0</v>
      </c>
      <c r="AQ46" s="105">
        <v>0</v>
      </c>
      <c r="AR46" s="104">
        <v>0</v>
      </c>
      <c r="AS46" s="104"/>
      <c r="AT46" s="104"/>
      <c r="AU46" s="283"/>
      <c r="AV46" s="252"/>
    </row>
    <row r="47" spans="1:48" s="31" customFormat="1" ht="24">
      <c r="A47" s="222"/>
      <c r="B47" s="223"/>
      <c r="C47" s="228"/>
      <c r="D47" s="228"/>
      <c r="E47" s="108" t="s">
        <v>44</v>
      </c>
      <c r="F47" s="123">
        <f t="shared" ref="F47:F48" si="83">K47+N47+Q47+T47+W47+Z47+AC47+AF47+AI47+AL47+AO47+AR47</f>
        <v>0</v>
      </c>
      <c r="G47" s="123">
        <f t="shared" si="22"/>
        <v>0</v>
      </c>
      <c r="H47" s="123">
        <f t="shared" ref="H47:H48" si="84">L47+O47+R47+U47+X47+AA47+AD47+AG47+AJ47+AM47+AP47+AS47</f>
        <v>0</v>
      </c>
      <c r="I47" s="123">
        <f t="shared" si="23"/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23">
        <v>0</v>
      </c>
      <c r="AD47" s="123">
        <v>0</v>
      </c>
      <c r="AE47" s="123">
        <v>0</v>
      </c>
      <c r="AF47" s="117">
        <v>0</v>
      </c>
      <c r="AG47" s="117">
        <v>0</v>
      </c>
      <c r="AH47" s="117">
        <v>0</v>
      </c>
      <c r="AI47" s="117">
        <v>0</v>
      </c>
      <c r="AJ47" s="117"/>
      <c r="AK47" s="117"/>
      <c r="AL47" s="123">
        <v>0</v>
      </c>
      <c r="AM47" s="123">
        <v>0</v>
      </c>
      <c r="AN47" s="123">
        <v>0</v>
      </c>
      <c r="AO47" s="117">
        <v>0</v>
      </c>
      <c r="AP47" s="117">
        <v>0</v>
      </c>
      <c r="AQ47" s="117">
        <v>0</v>
      </c>
      <c r="AR47" s="117">
        <v>0</v>
      </c>
      <c r="AS47" s="123"/>
      <c r="AT47" s="123"/>
      <c r="AU47" s="283"/>
      <c r="AV47" s="252"/>
    </row>
    <row r="48" spans="1:48" s="31" customFormat="1" ht="24">
      <c r="A48" s="222"/>
      <c r="B48" s="223"/>
      <c r="C48" s="229"/>
      <c r="D48" s="229"/>
      <c r="E48" s="109" t="s">
        <v>275</v>
      </c>
      <c r="F48" s="123">
        <f t="shared" si="83"/>
        <v>0</v>
      </c>
      <c r="G48" s="123">
        <f t="shared" si="22"/>
        <v>0</v>
      </c>
      <c r="H48" s="123">
        <f t="shared" si="84"/>
        <v>0</v>
      </c>
      <c r="I48" s="123">
        <f t="shared" si="23"/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23">
        <v>0</v>
      </c>
      <c r="AD48" s="123">
        <v>0</v>
      </c>
      <c r="AE48" s="123">
        <v>0</v>
      </c>
      <c r="AF48" s="117">
        <v>0</v>
      </c>
      <c r="AG48" s="117">
        <v>0</v>
      </c>
      <c r="AH48" s="117">
        <v>0</v>
      </c>
      <c r="AI48" s="117">
        <v>0</v>
      </c>
      <c r="AJ48" s="117"/>
      <c r="AK48" s="117"/>
      <c r="AL48" s="123">
        <v>0</v>
      </c>
      <c r="AM48" s="123">
        <v>0</v>
      </c>
      <c r="AN48" s="123">
        <v>0</v>
      </c>
      <c r="AO48" s="117">
        <v>0</v>
      </c>
      <c r="AP48" s="117">
        <v>0</v>
      </c>
      <c r="AQ48" s="117">
        <v>0</v>
      </c>
      <c r="AR48" s="117">
        <v>0</v>
      </c>
      <c r="AS48" s="123"/>
      <c r="AT48" s="123"/>
      <c r="AU48" s="284"/>
      <c r="AV48" s="253"/>
    </row>
    <row r="49" spans="1:48" s="31" customFormat="1" ht="69" customHeight="1">
      <c r="A49" s="222" t="s">
        <v>259</v>
      </c>
      <c r="B49" s="276" t="s">
        <v>257</v>
      </c>
      <c r="C49" s="227" t="s">
        <v>311</v>
      </c>
      <c r="D49" s="227" t="s">
        <v>371</v>
      </c>
      <c r="E49" s="107" t="s">
        <v>42</v>
      </c>
      <c r="F49" s="123">
        <f>SUM(F50:F52)</f>
        <v>82964.899999999994</v>
      </c>
      <c r="G49" s="123">
        <f t="shared" si="22"/>
        <v>39166.699999999997</v>
      </c>
      <c r="H49" s="123">
        <f t="shared" ref="H49:R49" si="85">SUM(H50:H52)</f>
        <v>38235</v>
      </c>
      <c r="I49" s="123">
        <f t="shared" si="23"/>
        <v>24078.5</v>
      </c>
      <c r="J49" s="123">
        <f t="shared" ref="J49:J51" si="86">H49/F49*100</f>
        <v>46.08575433707508</v>
      </c>
      <c r="K49" s="123">
        <f t="shared" si="85"/>
        <v>1233</v>
      </c>
      <c r="L49" s="123">
        <f t="shared" si="85"/>
        <v>1121</v>
      </c>
      <c r="M49" s="123">
        <f t="shared" ref="M49:M63" si="87">L49/K49*100</f>
        <v>90.916463909164634</v>
      </c>
      <c r="N49" s="123">
        <f t="shared" si="85"/>
        <v>9666</v>
      </c>
      <c r="O49" s="123">
        <f t="shared" si="85"/>
        <v>9648</v>
      </c>
      <c r="P49" s="123">
        <f t="shared" si="26"/>
        <v>99.813780260707631</v>
      </c>
      <c r="Q49" s="123">
        <f t="shared" si="85"/>
        <v>7233.5</v>
      </c>
      <c r="R49" s="123">
        <f t="shared" si="85"/>
        <v>7204.9</v>
      </c>
      <c r="S49" s="123">
        <f t="shared" si="27"/>
        <v>99.60461740512892</v>
      </c>
      <c r="T49" s="123">
        <f t="shared" ref="T49:AD49" si="88">SUM(T50:T52)</f>
        <v>6340.8</v>
      </c>
      <c r="U49" s="123">
        <f t="shared" si="88"/>
        <v>6104.6</v>
      </c>
      <c r="V49" s="123">
        <f t="shared" si="28"/>
        <v>96.274917991420637</v>
      </c>
      <c r="W49" s="123">
        <f t="shared" si="88"/>
        <v>7608.3</v>
      </c>
      <c r="X49" s="123">
        <f t="shared" si="88"/>
        <v>7188</v>
      </c>
      <c r="Y49" s="123">
        <f t="shared" ref="Y49" si="89">X49/W49*100</f>
        <v>94.475769882891043</v>
      </c>
      <c r="Z49" s="123">
        <f t="shared" si="88"/>
        <v>7085.1</v>
      </c>
      <c r="AA49" s="123">
        <f t="shared" si="88"/>
        <v>6968.5</v>
      </c>
      <c r="AB49" s="123">
        <f t="shared" si="88"/>
        <v>98.354292811675208</v>
      </c>
      <c r="AC49" s="104">
        <f t="shared" si="88"/>
        <v>7695.6</v>
      </c>
      <c r="AD49" s="123">
        <f t="shared" si="88"/>
        <v>0</v>
      </c>
      <c r="AE49" s="123">
        <f>SUM(AE50:AE52)</f>
        <v>0</v>
      </c>
      <c r="AF49" s="104">
        <f t="shared" ref="AF49:AT49" si="90">SUM(AF50:AF52)</f>
        <v>5791.2</v>
      </c>
      <c r="AG49" s="104">
        <f t="shared" si="90"/>
        <v>0</v>
      </c>
      <c r="AH49" s="104">
        <f t="shared" si="90"/>
        <v>0</v>
      </c>
      <c r="AI49" s="104">
        <f t="shared" si="90"/>
        <v>5884.9000000000005</v>
      </c>
      <c r="AJ49" s="123">
        <f t="shared" si="90"/>
        <v>0</v>
      </c>
      <c r="AK49" s="123">
        <f t="shared" si="90"/>
        <v>0</v>
      </c>
      <c r="AL49" s="123">
        <f t="shared" si="90"/>
        <v>5158.2</v>
      </c>
      <c r="AM49" s="123">
        <f t="shared" si="90"/>
        <v>0</v>
      </c>
      <c r="AN49" s="123">
        <f t="shared" si="90"/>
        <v>0</v>
      </c>
      <c r="AO49" s="104">
        <f t="shared" si="90"/>
        <v>4664.2</v>
      </c>
      <c r="AP49" s="123">
        <f t="shared" si="90"/>
        <v>0</v>
      </c>
      <c r="AQ49" s="123">
        <f t="shared" si="90"/>
        <v>0</v>
      </c>
      <c r="AR49" s="104">
        <f t="shared" si="90"/>
        <v>14604.1</v>
      </c>
      <c r="AS49" s="123">
        <f t="shared" si="90"/>
        <v>0</v>
      </c>
      <c r="AT49" s="123">
        <f t="shared" si="90"/>
        <v>0</v>
      </c>
      <c r="AU49" s="282" t="s">
        <v>394</v>
      </c>
      <c r="AV49" s="285" t="s">
        <v>395</v>
      </c>
    </row>
    <row r="50" spans="1:48" s="31" customFormat="1" ht="69" customHeight="1">
      <c r="A50" s="222"/>
      <c r="B50" s="276"/>
      <c r="C50" s="228"/>
      <c r="D50" s="228"/>
      <c r="E50" s="108" t="s">
        <v>3</v>
      </c>
      <c r="F50" s="123">
        <f>K50+N50+Q50+T50+W50+Z50+AC50+AF50+AI50+AL50+AO50+AR50</f>
        <v>0</v>
      </c>
      <c r="G50" s="123">
        <f t="shared" si="22"/>
        <v>0</v>
      </c>
      <c r="H50" s="123">
        <f>L50+O50+R50+U50+X50+AA50+AD50+AG50+AJ50+AM50+AP50+AS50</f>
        <v>0</v>
      </c>
      <c r="I50" s="123">
        <f t="shared" si="23"/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23">
        <v>0</v>
      </c>
      <c r="AD50" s="123">
        <v>0</v>
      </c>
      <c r="AE50" s="123">
        <v>0</v>
      </c>
      <c r="AF50" s="117">
        <v>0</v>
      </c>
      <c r="AG50" s="117">
        <v>0</v>
      </c>
      <c r="AH50" s="117">
        <v>0</v>
      </c>
      <c r="AI50" s="117">
        <v>0</v>
      </c>
      <c r="AJ50" s="117"/>
      <c r="AK50" s="117"/>
      <c r="AL50" s="123">
        <v>0</v>
      </c>
      <c r="AM50" s="123">
        <v>0</v>
      </c>
      <c r="AN50" s="123">
        <v>0</v>
      </c>
      <c r="AO50" s="117">
        <v>0</v>
      </c>
      <c r="AP50" s="117">
        <v>0</v>
      </c>
      <c r="AQ50" s="117">
        <v>0</v>
      </c>
      <c r="AR50" s="117">
        <v>0</v>
      </c>
      <c r="AS50" s="123"/>
      <c r="AT50" s="123"/>
      <c r="AU50" s="283"/>
      <c r="AV50" s="286"/>
    </row>
    <row r="51" spans="1:48" s="31" customFormat="1" ht="89.25" customHeight="1">
      <c r="A51" s="222"/>
      <c r="B51" s="276"/>
      <c r="C51" s="228"/>
      <c r="D51" s="228"/>
      <c r="E51" s="108" t="s">
        <v>44</v>
      </c>
      <c r="F51" s="123">
        <f t="shared" ref="F51:F52" si="91">K51+N51+Q51+T51+W51+Z51+AC51+AF51+AI51+AL51+AO51+AR51</f>
        <v>82964.899999999994</v>
      </c>
      <c r="G51" s="123">
        <f t="shared" si="22"/>
        <v>39166.699999999997</v>
      </c>
      <c r="H51" s="123">
        <f t="shared" ref="H51:H52" si="92">L51+O51+R51+U51+X51+AA51+AD51+AG51+AJ51+AM51+AP51+AS51</f>
        <v>38235</v>
      </c>
      <c r="I51" s="123">
        <f t="shared" si="23"/>
        <v>24078.5</v>
      </c>
      <c r="J51" s="123">
        <f t="shared" si="86"/>
        <v>46.08575433707508</v>
      </c>
      <c r="K51" s="104">
        <f>6378-5000-100-45</f>
        <v>1233</v>
      </c>
      <c r="L51" s="104">
        <v>1121</v>
      </c>
      <c r="M51" s="123">
        <f t="shared" si="87"/>
        <v>90.916463909164634</v>
      </c>
      <c r="N51" s="126">
        <f>7716+2000-50</f>
        <v>9666</v>
      </c>
      <c r="O51" s="104">
        <v>9648</v>
      </c>
      <c r="P51" s="123">
        <f t="shared" si="26"/>
        <v>99.813780260707631</v>
      </c>
      <c r="Q51" s="104">
        <f>5958.6-1920.1+3000+100+50+45</f>
        <v>7233.5</v>
      </c>
      <c r="R51" s="104">
        <v>7204.9</v>
      </c>
      <c r="S51" s="123">
        <f t="shared" si="27"/>
        <v>99.60461740512892</v>
      </c>
      <c r="T51" s="104">
        <f>5340.8+1000</f>
        <v>6340.8</v>
      </c>
      <c r="U51" s="104">
        <v>6104.6</v>
      </c>
      <c r="V51" s="123">
        <f t="shared" si="28"/>
        <v>96.274917991420637</v>
      </c>
      <c r="W51" s="105">
        <v>7608.3</v>
      </c>
      <c r="X51" s="105">
        <v>7188</v>
      </c>
      <c r="Y51" s="123">
        <f t="shared" ref="Y51" si="93">X51/W51*100</f>
        <v>94.475769882891043</v>
      </c>
      <c r="Z51" s="105">
        <f>8156.8-71.7-1000</f>
        <v>7085.1</v>
      </c>
      <c r="AA51" s="105">
        <v>6968.5</v>
      </c>
      <c r="AB51" s="105">
        <f>AA51/Z51*100</f>
        <v>98.354292811675208</v>
      </c>
      <c r="AC51" s="105">
        <v>7695.6</v>
      </c>
      <c r="AD51" s="105">
        <v>0</v>
      </c>
      <c r="AE51" s="105">
        <v>0</v>
      </c>
      <c r="AF51" s="105">
        <v>5791.2</v>
      </c>
      <c r="AG51" s="105">
        <v>0</v>
      </c>
      <c r="AH51" s="105">
        <v>0</v>
      </c>
      <c r="AI51" s="105">
        <f>4905+13.1+966.8</f>
        <v>5884.9000000000005</v>
      </c>
      <c r="AJ51" s="105">
        <v>0</v>
      </c>
      <c r="AK51" s="105">
        <v>0</v>
      </c>
      <c r="AL51" s="104">
        <v>5158.2</v>
      </c>
      <c r="AM51" s="104">
        <v>0</v>
      </c>
      <c r="AN51" s="104">
        <v>0</v>
      </c>
      <c r="AO51" s="105">
        <v>4664.2</v>
      </c>
      <c r="AP51" s="105">
        <v>0</v>
      </c>
      <c r="AQ51" s="105">
        <v>0</v>
      </c>
      <c r="AR51" s="104">
        <f>13764.2+1735-895.1</f>
        <v>14604.1</v>
      </c>
      <c r="AS51" s="104"/>
      <c r="AT51" s="104"/>
      <c r="AU51" s="283"/>
      <c r="AV51" s="286"/>
    </row>
    <row r="52" spans="1:48" s="31" customFormat="1" ht="69" customHeight="1">
      <c r="A52" s="222"/>
      <c r="B52" s="276"/>
      <c r="C52" s="229"/>
      <c r="D52" s="229"/>
      <c r="E52" s="109" t="s">
        <v>275</v>
      </c>
      <c r="F52" s="123">
        <f t="shared" si="91"/>
        <v>0</v>
      </c>
      <c r="G52" s="123">
        <f t="shared" si="22"/>
        <v>0</v>
      </c>
      <c r="H52" s="123">
        <f t="shared" si="92"/>
        <v>0</v>
      </c>
      <c r="I52" s="123">
        <f t="shared" si="23"/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23">
        <v>0</v>
      </c>
      <c r="AD52" s="123">
        <v>0</v>
      </c>
      <c r="AE52" s="123">
        <v>0</v>
      </c>
      <c r="AF52" s="117">
        <v>0</v>
      </c>
      <c r="AG52" s="117">
        <v>0</v>
      </c>
      <c r="AH52" s="117">
        <v>0</v>
      </c>
      <c r="AI52" s="117">
        <v>0</v>
      </c>
      <c r="AJ52" s="117"/>
      <c r="AK52" s="117"/>
      <c r="AL52" s="123">
        <v>0</v>
      </c>
      <c r="AM52" s="123">
        <v>0</v>
      </c>
      <c r="AN52" s="123">
        <v>0</v>
      </c>
      <c r="AO52" s="117">
        <v>0</v>
      </c>
      <c r="AP52" s="117">
        <v>0</v>
      </c>
      <c r="AQ52" s="117">
        <v>0</v>
      </c>
      <c r="AR52" s="117">
        <v>0</v>
      </c>
      <c r="AS52" s="123"/>
      <c r="AT52" s="123"/>
      <c r="AU52" s="284"/>
      <c r="AV52" s="287"/>
    </row>
    <row r="53" spans="1:48" s="31" customFormat="1" ht="12.75">
      <c r="A53" s="222" t="s">
        <v>271</v>
      </c>
      <c r="B53" s="223" t="s">
        <v>272</v>
      </c>
      <c r="C53" s="227" t="s">
        <v>306</v>
      </c>
      <c r="D53" s="227" t="s">
        <v>371</v>
      </c>
      <c r="E53" s="107" t="s">
        <v>42</v>
      </c>
      <c r="F53" s="123">
        <f>SUM(F54:F56)</f>
        <v>3846.5</v>
      </c>
      <c r="G53" s="123">
        <f t="shared" si="22"/>
        <v>1961.9999999999998</v>
      </c>
      <c r="H53" s="123">
        <f t="shared" ref="H53:R53" si="94">SUM(H54:H56)</f>
        <v>1962.0000000000002</v>
      </c>
      <c r="I53" s="123">
        <f t="shared" si="23"/>
        <v>1285.7</v>
      </c>
      <c r="J53" s="123">
        <f>H53/F53*100</f>
        <v>51.007409333160027</v>
      </c>
      <c r="K53" s="123">
        <f t="shared" si="94"/>
        <v>322</v>
      </c>
      <c r="L53" s="123">
        <f t="shared" si="94"/>
        <v>321.10000000000002</v>
      </c>
      <c r="M53" s="123">
        <f t="shared" si="87"/>
        <v>99.720496894409948</v>
      </c>
      <c r="N53" s="123">
        <f t="shared" si="94"/>
        <v>302</v>
      </c>
      <c r="O53" s="123">
        <f t="shared" si="94"/>
        <v>298</v>
      </c>
      <c r="P53" s="123">
        <f t="shared" si="26"/>
        <v>98.675496688741731</v>
      </c>
      <c r="Q53" s="123">
        <f t="shared" si="94"/>
        <v>347</v>
      </c>
      <c r="R53" s="123">
        <f t="shared" si="94"/>
        <v>342</v>
      </c>
      <c r="S53" s="123">
        <f t="shared" si="27"/>
        <v>98.559077809798268</v>
      </c>
      <c r="T53" s="123">
        <f t="shared" ref="T53:AD53" si="95">SUM(T54:T56)</f>
        <v>324.60000000000002</v>
      </c>
      <c r="U53" s="123">
        <f t="shared" si="95"/>
        <v>324.60000000000002</v>
      </c>
      <c r="V53" s="123">
        <f t="shared" si="28"/>
        <v>100</v>
      </c>
      <c r="W53" s="123">
        <f t="shared" si="95"/>
        <v>335.59999999999997</v>
      </c>
      <c r="X53" s="123">
        <f t="shared" si="95"/>
        <v>335.6</v>
      </c>
      <c r="Y53" s="123">
        <f t="shared" ref="Y53" si="96">X53/W53*100</f>
        <v>100.00000000000003</v>
      </c>
      <c r="Z53" s="123">
        <f t="shared" si="95"/>
        <v>330.8</v>
      </c>
      <c r="AA53" s="123">
        <f t="shared" si="95"/>
        <v>340.7</v>
      </c>
      <c r="AB53" s="123">
        <f t="shared" si="95"/>
        <v>102.99274486094316</v>
      </c>
      <c r="AC53" s="104">
        <f t="shared" si="95"/>
        <v>327</v>
      </c>
      <c r="AD53" s="123">
        <f t="shared" si="95"/>
        <v>0</v>
      </c>
      <c r="AE53" s="123">
        <f>SUM(AE54:AE56)</f>
        <v>0</v>
      </c>
      <c r="AF53" s="104">
        <f t="shared" ref="AF53:AT53" si="97">SUM(AF54:AF56)</f>
        <v>327</v>
      </c>
      <c r="AG53" s="104">
        <f t="shared" si="97"/>
        <v>0</v>
      </c>
      <c r="AH53" s="104">
        <f t="shared" si="97"/>
        <v>0</v>
      </c>
      <c r="AI53" s="104">
        <f t="shared" si="97"/>
        <v>327</v>
      </c>
      <c r="AJ53" s="104">
        <f t="shared" si="97"/>
        <v>0</v>
      </c>
      <c r="AK53" s="104">
        <f t="shared" si="97"/>
        <v>0</v>
      </c>
      <c r="AL53" s="123">
        <f t="shared" si="97"/>
        <v>327</v>
      </c>
      <c r="AM53" s="123">
        <f t="shared" si="97"/>
        <v>0</v>
      </c>
      <c r="AN53" s="123">
        <f t="shared" si="97"/>
        <v>0</v>
      </c>
      <c r="AO53" s="104">
        <f t="shared" si="97"/>
        <v>327</v>
      </c>
      <c r="AP53" s="123">
        <f t="shared" si="97"/>
        <v>0</v>
      </c>
      <c r="AQ53" s="123">
        <f t="shared" si="97"/>
        <v>0</v>
      </c>
      <c r="AR53" s="104">
        <f t="shared" si="97"/>
        <v>249.5</v>
      </c>
      <c r="AS53" s="123">
        <f t="shared" si="97"/>
        <v>0</v>
      </c>
      <c r="AT53" s="123">
        <f t="shared" si="97"/>
        <v>0</v>
      </c>
      <c r="AU53" s="282" t="s">
        <v>379</v>
      </c>
      <c r="AV53" s="254"/>
    </row>
    <row r="54" spans="1:48" s="31" customFormat="1" ht="36">
      <c r="A54" s="222"/>
      <c r="B54" s="223"/>
      <c r="C54" s="228"/>
      <c r="D54" s="228"/>
      <c r="E54" s="108" t="s">
        <v>3</v>
      </c>
      <c r="F54" s="123">
        <f>K54+N54+Q54+T54+W54+Z54+AC54+AF54+AI54+AL54+AO54+AR54</f>
        <v>0</v>
      </c>
      <c r="G54" s="123">
        <f t="shared" si="22"/>
        <v>0</v>
      </c>
      <c r="H54" s="123">
        <f>L54+O54+R54+U54+X54+AA54+AD54+AG54+AJ54+AM54+AP54+AS54</f>
        <v>0</v>
      </c>
      <c r="I54" s="123">
        <f t="shared" si="23"/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23">
        <v>0</v>
      </c>
      <c r="AD54" s="123">
        <v>0</v>
      </c>
      <c r="AE54" s="123">
        <v>0</v>
      </c>
      <c r="AF54" s="117">
        <v>0</v>
      </c>
      <c r="AG54" s="117">
        <v>0</v>
      </c>
      <c r="AH54" s="117">
        <v>0</v>
      </c>
      <c r="AI54" s="117">
        <v>0</v>
      </c>
      <c r="AJ54" s="117"/>
      <c r="AK54" s="117"/>
      <c r="AL54" s="123">
        <v>0</v>
      </c>
      <c r="AM54" s="123">
        <v>0</v>
      </c>
      <c r="AN54" s="123">
        <v>0</v>
      </c>
      <c r="AO54" s="117">
        <v>0</v>
      </c>
      <c r="AP54" s="117">
        <v>0</v>
      </c>
      <c r="AQ54" s="117">
        <v>0</v>
      </c>
      <c r="AR54" s="117">
        <v>0</v>
      </c>
      <c r="AS54" s="123"/>
      <c r="AT54" s="123"/>
      <c r="AU54" s="283"/>
      <c r="AV54" s="254"/>
    </row>
    <row r="55" spans="1:48" s="31" customFormat="1" ht="24">
      <c r="A55" s="222"/>
      <c r="B55" s="223"/>
      <c r="C55" s="228"/>
      <c r="D55" s="228"/>
      <c r="E55" s="108" t="s">
        <v>44</v>
      </c>
      <c r="F55" s="123">
        <f t="shared" ref="F55:F56" si="98">K55+N55+Q55+T55+W55+Z55+AC55+AF55+AI55+AL55+AO55+AR55</f>
        <v>3846.5</v>
      </c>
      <c r="G55" s="123">
        <f t="shared" si="22"/>
        <v>1961.9999999999998</v>
      </c>
      <c r="H55" s="123">
        <f t="shared" ref="H55:H56" si="99">L55+O55+R55+U55+X55+AA55+AD55+AG55+AJ55+AM55+AP55+AS55</f>
        <v>1962.0000000000002</v>
      </c>
      <c r="I55" s="123">
        <f t="shared" si="23"/>
        <v>1285.7</v>
      </c>
      <c r="J55" s="123">
        <f t="shared" ref="J55:J59" si="100">H55/F55*100</f>
        <v>51.007409333160027</v>
      </c>
      <c r="K55" s="104">
        <v>322</v>
      </c>
      <c r="L55" s="104">
        <f>321.1</f>
        <v>321.10000000000002</v>
      </c>
      <c r="M55" s="123">
        <f t="shared" si="87"/>
        <v>99.720496894409948</v>
      </c>
      <c r="N55" s="126">
        <v>302</v>
      </c>
      <c r="O55" s="104">
        <v>298</v>
      </c>
      <c r="P55" s="123">
        <f t="shared" si="26"/>
        <v>98.675496688741731</v>
      </c>
      <c r="Q55" s="104">
        <v>347</v>
      </c>
      <c r="R55" s="104">
        <v>342</v>
      </c>
      <c r="S55" s="123">
        <f t="shared" si="27"/>
        <v>98.559077809798268</v>
      </c>
      <c r="T55" s="104">
        <f>327-2.4</f>
        <v>324.60000000000002</v>
      </c>
      <c r="U55" s="104">
        <v>324.60000000000002</v>
      </c>
      <c r="V55" s="123">
        <f t="shared" si="28"/>
        <v>100</v>
      </c>
      <c r="W55" s="105">
        <f>327+1.2+10-2.6</f>
        <v>335.59999999999997</v>
      </c>
      <c r="X55" s="105">
        <v>335.6</v>
      </c>
      <c r="Y55" s="123">
        <f t="shared" ref="Y55" si="101">X55/W55*100</f>
        <v>100.00000000000003</v>
      </c>
      <c r="Z55" s="105">
        <f>327+1.2+2.6</f>
        <v>330.8</v>
      </c>
      <c r="AA55" s="105">
        <v>340.7</v>
      </c>
      <c r="AB55" s="105">
        <f>AA55/Z55*100</f>
        <v>102.99274486094316</v>
      </c>
      <c r="AC55" s="105">
        <v>327</v>
      </c>
      <c r="AD55" s="105">
        <v>0</v>
      </c>
      <c r="AE55" s="105">
        <v>0</v>
      </c>
      <c r="AF55" s="105">
        <v>327</v>
      </c>
      <c r="AG55" s="105">
        <v>0</v>
      </c>
      <c r="AH55" s="105">
        <v>0</v>
      </c>
      <c r="AI55" s="105">
        <v>327</v>
      </c>
      <c r="AJ55" s="105">
        <v>0</v>
      </c>
      <c r="AK55" s="105">
        <v>0</v>
      </c>
      <c r="AL55" s="104">
        <v>327</v>
      </c>
      <c r="AM55" s="104">
        <v>0</v>
      </c>
      <c r="AN55" s="104">
        <v>0</v>
      </c>
      <c r="AO55" s="105">
        <v>327</v>
      </c>
      <c r="AP55" s="105">
        <v>0</v>
      </c>
      <c r="AQ55" s="105">
        <v>0</v>
      </c>
      <c r="AR55" s="104">
        <f>259.5-10</f>
        <v>249.5</v>
      </c>
      <c r="AS55" s="104"/>
      <c r="AT55" s="104"/>
      <c r="AU55" s="283"/>
      <c r="AV55" s="254"/>
    </row>
    <row r="56" spans="1:48" s="31" customFormat="1" ht="24">
      <c r="A56" s="222"/>
      <c r="B56" s="223"/>
      <c r="C56" s="229"/>
      <c r="D56" s="229"/>
      <c r="E56" s="109" t="s">
        <v>275</v>
      </c>
      <c r="F56" s="123">
        <f t="shared" si="98"/>
        <v>0</v>
      </c>
      <c r="G56" s="123">
        <f t="shared" si="22"/>
        <v>0</v>
      </c>
      <c r="H56" s="123">
        <f t="shared" si="99"/>
        <v>0</v>
      </c>
      <c r="I56" s="123">
        <f t="shared" si="23"/>
        <v>0</v>
      </c>
      <c r="J56" s="123">
        <f t="shared" ref="J56" si="102">J60+J64+J68</f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23">
        <v>0</v>
      </c>
      <c r="AD56" s="123">
        <v>0</v>
      </c>
      <c r="AE56" s="123">
        <v>0</v>
      </c>
      <c r="AF56" s="117">
        <v>0</v>
      </c>
      <c r="AG56" s="117">
        <v>0</v>
      </c>
      <c r="AH56" s="117">
        <v>0</v>
      </c>
      <c r="AI56" s="117">
        <v>0</v>
      </c>
      <c r="AJ56" s="117"/>
      <c r="AK56" s="117"/>
      <c r="AL56" s="123">
        <v>0</v>
      </c>
      <c r="AM56" s="123">
        <v>0</v>
      </c>
      <c r="AN56" s="123">
        <v>0</v>
      </c>
      <c r="AO56" s="117">
        <v>0</v>
      </c>
      <c r="AP56" s="117">
        <v>0</v>
      </c>
      <c r="AQ56" s="117">
        <v>0</v>
      </c>
      <c r="AR56" s="117">
        <v>0</v>
      </c>
      <c r="AS56" s="123"/>
      <c r="AT56" s="123"/>
      <c r="AU56" s="284"/>
      <c r="AV56" s="255"/>
    </row>
    <row r="57" spans="1:48" s="31" customFormat="1" ht="12.75" customHeight="1">
      <c r="A57" s="224" t="s">
        <v>261</v>
      </c>
      <c r="B57" s="276" t="s">
        <v>258</v>
      </c>
      <c r="C57" s="227" t="s">
        <v>312</v>
      </c>
      <c r="D57" s="227" t="s">
        <v>371</v>
      </c>
      <c r="E57" s="107" t="s">
        <v>42</v>
      </c>
      <c r="F57" s="123">
        <f>F58+F59+F60</f>
        <v>7630.2</v>
      </c>
      <c r="G57" s="123">
        <f t="shared" si="22"/>
        <v>3674.7</v>
      </c>
      <c r="H57" s="123">
        <f t="shared" ref="H57:AT57" si="103">H58+H59+H60</f>
        <v>3342.2</v>
      </c>
      <c r="I57" s="123">
        <f t="shared" si="23"/>
        <v>1777.6</v>
      </c>
      <c r="J57" s="123">
        <f>H57/F57*100</f>
        <v>43.802259442740684</v>
      </c>
      <c r="K57" s="123">
        <f>K58+K59+K60</f>
        <v>195.2</v>
      </c>
      <c r="L57" s="123">
        <f t="shared" si="103"/>
        <v>58.1</v>
      </c>
      <c r="M57" s="123">
        <f t="shared" si="87"/>
        <v>29.764344262295083</v>
      </c>
      <c r="N57" s="123">
        <f t="shared" si="103"/>
        <v>529.09999999999991</v>
      </c>
      <c r="O57" s="123">
        <f t="shared" si="103"/>
        <v>480.3</v>
      </c>
      <c r="P57" s="123">
        <f t="shared" si="26"/>
        <v>90.77679077679079</v>
      </c>
      <c r="Q57" s="123">
        <f t="shared" si="103"/>
        <v>616.6</v>
      </c>
      <c r="R57" s="123">
        <f t="shared" si="103"/>
        <v>523.70000000000005</v>
      </c>
      <c r="S57" s="123">
        <f t="shared" si="27"/>
        <v>84.933506325008111</v>
      </c>
      <c r="T57" s="123">
        <f t="shared" si="103"/>
        <v>592.59999999999991</v>
      </c>
      <c r="U57" s="123">
        <f t="shared" si="103"/>
        <v>715.5</v>
      </c>
      <c r="V57" s="123">
        <f t="shared" si="28"/>
        <v>120.739115761053</v>
      </c>
      <c r="W57" s="123">
        <f t="shared" si="103"/>
        <v>641.5</v>
      </c>
      <c r="X57" s="123">
        <f t="shared" si="103"/>
        <v>796.1</v>
      </c>
      <c r="Y57" s="123">
        <v>0</v>
      </c>
      <c r="Z57" s="123">
        <f t="shared" si="103"/>
        <v>1099.7</v>
      </c>
      <c r="AA57" s="123">
        <f t="shared" si="103"/>
        <v>768.5</v>
      </c>
      <c r="AB57" s="123">
        <f t="shared" si="103"/>
        <v>303.42180860366312</v>
      </c>
      <c r="AC57" s="123">
        <f t="shared" si="103"/>
        <v>1003.3000000000001</v>
      </c>
      <c r="AD57" s="123">
        <f t="shared" si="103"/>
        <v>0</v>
      </c>
      <c r="AE57" s="123">
        <f t="shared" si="103"/>
        <v>0</v>
      </c>
      <c r="AF57" s="123">
        <f t="shared" si="103"/>
        <v>829.5</v>
      </c>
      <c r="AG57" s="123">
        <f t="shared" si="103"/>
        <v>0</v>
      </c>
      <c r="AH57" s="123">
        <f t="shared" si="103"/>
        <v>0</v>
      </c>
      <c r="AI57" s="123">
        <f t="shared" si="103"/>
        <v>620.4</v>
      </c>
      <c r="AJ57" s="123">
        <f t="shared" si="103"/>
        <v>0</v>
      </c>
      <c r="AK57" s="123">
        <f t="shared" si="103"/>
        <v>0</v>
      </c>
      <c r="AL57" s="123">
        <f t="shared" si="103"/>
        <v>491.79999999999995</v>
      </c>
      <c r="AM57" s="123">
        <f t="shared" si="103"/>
        <v>0</v>
      </c>
      <c r="AN57" s="123">
        <f t="shared" si="103"/>
        <v>0</v>
      </c>
      <c r="AO57" s="123">
        <f t="shared" si="103"/>
        <v>404.8</v>
      </c>
      <c r="AP57" s="123">
        <f t="shared" si="103"/>
        <v>0</v>
      </c>
      <c r="AQ57" s="123">
        <f t="shared" si="103"/>
        <v>0</v>
      </c>
      <c r="AR57" s="123">
        <f t="shared" si="103"/>
        <v>605.70000000000005</v>
      </c>
      <c r="AS57" s="123">
        <f t="shared" si="103"/>
        <v>0</v>
      </c>
      <c r="AT57" s="123">
        <f t="shared" si="103"/>
        <v>0</v>
      </c>
      <c r="AU57" s="282" t="s">
        <v>384</v>
      </c>
      <c r="AV57" s="278" t="s">
        <v>393</v>
      </c>
    </row>
    <row r="58" spans="1:48" s="31" customFormat="1" ht="36">
      <c r="A58" s="225"/>
      <c r="B58" s="276"/>
      <c r="C58" s="228"/>
      <c r="D58" s="228"/>
      <c r="E58" s="108" t="s">
        <v>3</v>
      </c>
      <c r="F58" s="123">
        <f>F62+F66+F70</f>
        <v>3914.2</v>
      </c>
      <c r="G58" s="123">
        <f t="shared" si="22"/>
        <v>1616.7</v>
      </c>
      <c r="H58" s="123">
        <f t="shared" ref="H58:AT60" si="104">H62+H66+H70</f>
        <v>1411.2</v>
      </c>
      <c r="I58" s="123">
        <f t="shared" si="23"/>
        <v>891.59999999999991</v>
      </c>
      <c r="J58" s="123">
        <f>H58/F58*100</f>
        <v>36.053344233815345</v>
      </c>
      <c r="K58" s="123">
        <f>K62+K66+K70</f>
        <v>0</v>
      </c>
      <c r="L58" s="123">
        <f t="shared" si="104"/>
        <v>0</v>
      </c>
      <c r="M58" s="123">
        <v>0</v>
      </c>
      <c r="N58" s="123">
        <f t="shared" si="104"/>
        <v>264.89999999999998</v>
      </c>
      <c r="O58" s="123">
        <f t="shared" si="104"/>
        <v>187.8</v>
      </c>
      <c r="P58" s="123">
        <f t="shared" si="26"/>
        <v>70.894677236693099</v>
      </c>
      <c r="Q58" s="123">
        <f t="shared" si="104"/>
        <v>274.39999999999998</v>
      </c>
      <c r="R58" s="123">
        <f t="shared" si="104"/>
        <v>282.2</v>
      </c>
      <c r="S58" s="123">
        <f t="shared" si="27"/>
        <v>102.84256559766764</v>
      </c>
      <c r="T58" s="123">
        <f t="shared" si="104"/>
        <v>295.89999999999998</v>
      </c>
      <c r="U58" s="123">
        <f t="shared" si="104"/>
        <v>421.59999999999997</v>
      </c>
      <c r="V58" s="123">
        <f t="shared" si="28"/>
        <v>142.48056775937818</v>
      </c>
      <c r="W58" s="123">
        <f t="shared" si="104"/>
        <v>317.79999999999995</v>
      </c>
      <c r="X58" s="123">
        <f t="shared" si="104"/>
        <v>238.4</v>
      </c>
      <c r="Y58" s="123">
        <f t="shared" si="104"/>
        <v>270.13915005641218</v>
      </c>
      <c r="Z58" s="123">
        <f t="shared" si="104"/>
        <v>463.7</v>
      </c>
      <c r="AA58" s="123">
        <f t="shared" si="104"/>
        <v>281.2</v>
      </c>
      <c r="AB58" s="123">
        <f t="shared" si="104"/>
        <v>226.80231174831721</v>
      </c>
      <c r="AC58" s="123">
        <f t="shared" si="104"/>
        <v>553.70000000000005</v>
      </c>
      <c r="AD58" s="123">
        <f t="shared" si="104"/>
        <v>0</v>
      </c>
      <c r="AE58" s="123">
        <f t="shared" si="104"/>
        <v>0</v>
      </c>
      <c r="AF58" s="123">
        <f t="shared" si="104"/>
        <v>446</v>
      </c>
      <c r="AG58" s="123">
        <f t="shared" si="104"/>
        <v>0</v>
      </c>
      <c r="AH58" s="123">
        <f t="shared" si="104"/>
        <v>0</v>
      </c>
      <c r="AI58" s="123">
        <f t="shared" si="104"/>
        <v>309.39999999999998</v>
      </c>
      <c r="AJ58" s="123">
        <f t="shared" si="104"/>
        <v>0</v>
      </c>
      <c r="AK58" s="123">
        <f t="shared" si="104"/>
        <v>0</v>
      </c>
      <c r="AL58" s="123">
        <f t="shared" si="104"/>
        <v>307.79999999999995</v>
      </c>
      <c r="AM58" s="123">
        <f t="shared" si="104"/>
        <v>0</v>
      </c>
      <c r="AN58" s="123">
        <f t="shared" si="104"/>
        <v>0</v>
      </c>
      <c r="AO58" s="123">
        <f t="shared" si="104"/>
        <v>238</v>
      </c>
      <c r="AP58" s="123">
        <f t="shared" si="104"/>
        <v>0</v>
      </c>
      <c r="AQ58" s="123">
        <f t="shared" si="104"/>
        <v>0</v>
      </c>
      <c r="AR58" s="123">
        <f t="shared" si="104"/>
        <v>442.6</v>
      </c>
      <c r="AS58" s="123">
        <f t="shared" si="104"/>
        <v>0</v>
      </c>
      <c r="AT58" s="123">
        <f t="shared" si="104"/>
        <v>0</v>
      </c>
      <c r="AU58" s="283"/>
      <c r="AV58" s="279"/>
    </row>
    <row r="59" spans="1:48" s="31" customFormat="1" ht="24">
      <c r="A59" s="225"/>
      <c r="B59" s="276"/>
      <c r="C59" s="228"/>
      <c r="D59" s="228"/>
      <c r="E59" s="108" t="s">
        <v>44</v>
      </c>
      <c r="F59" s="123">
        <f>F63+F67+F71</f>
        <v>3716</v>
      </c>
      <c r="G59" s="123">
        <f t="shared" si="22"/>
        <v>2058</v>
      </c>
      <c r="H59" s="123">
        <f t="shared" si="104"/>
        <v>1931</v>
      </c>
      <c r="I59" s="123">
        <f t="shared" si="23"/>
        <v>886</v>
      </c>
      <c r="J59" s="123">
        <f t="shared" si="100"/>
        <v>51.964477933261577</v>
      </c>
      <c r="K59" s="123">
        <f t="shared" si="104"/>
        <v>195.2</v>
      </c>
      <c r="L59" s="123">
        <f t="shared" si="104"/>
        <v>58.1</v>
      </c>
      <c r="M59" s="123">
        <f t="shared" si="87"/>
        <v>29.764344262295083</v>
      </c>
      <c r="N59" s="123">
        <f t="shared" si="104"/>
        <v>264.2</v>
      </c>
      <c r="O59" s="123">
        <f t="shared" si="104"/>
        <v>292.5</v>
      </c>
      <c r="P59" s="123">
        <f t="shared" si="26"/>
        <v>110.71158213474641</v>
      </c>
      <c r="Q59" s="123">
        <f t="shared" si="104"/>
        <v>342.20000000000005</v>
      </c>
      <c r="R59" s="123">
        <f t="shared" si="104"/>
        <v>241.5</v>
      </c>
      <c r="S59" s="123">
        <f t="shared" si="27"/>
        <v>70.572764465225006</v>
      </c>
      <c r="T59" s="123">
        <f t="shared" si="104"/>
        <v>296.7</v>
      </c>
      <c r="U59" s="123">
        <f t="shared" si="104"/>
        <v>293.89999999999998</v>
      </c>
      <c r="V59" s="123">
        <f t="shared" si="28"/>
        <v>99.056285810583077</v>
      </c>
      <c r="W59" s="123">
        <f t="shared" si="104"/>
        <v>323.7</v>
      </c>
      <c r="X59" s="123">
        <f t="shared" si="104"/>
        <v>557.70000000000005</v>
      </c>
      <c r="Y59" s="123">
        <f t="shared" si="104"/>
        <v>252.93202219315259</v>
      </c>
      <c r="Z59" s="123">
        <f t="shared" si="104"/>
        <v>636</v>
      </c>
      <c r="AA59" s="123">
        <f t="shared" si="104"/>
        <v>487.3</v>
      </c>
      <c r="AB59" s="123">
        <f t="shared" si="104"/>
        <v>76.619496855345915</v>
      </c>
      <c r="AC59" s="123">
        <f t="shared" si="104"/>
        <v>449.6</v>
      </c>
      <c r="AD59" s="123">
        <f t="shared" si="104"/>
        <v>0</v>
      </c>
      <c r="AE59" s="123">
        <f t="shared" si="104"/>
        <v>0</v>
      </c>
      <c r="AF59" s="123">
        <f t="shared" si="104"/>
        <v>383.5</v>
      </c>
      <c r="AG59" s="123">
        <f t="shared" si="104"/>
        <v>0</v>
      </c>
      <c r="AH59" s="123">
        <f t="shared" si="104"/>
        <v>0</v>
      </c>
      <c r="AI59" s="123">
        <f t="shared" si="104"/>
        <v>311</v>
      </c>
      <c r="AJ59" s="123">
        <f t="shared" si="104"/>
        <v>0</v>
      </c>
      <c r="AK59" s="123">
        <f t="shared" si="104"/>
        <v>0</v>
      </c>
      <c r="AL59" s="123">
        <f t="shared" si="104"/>
        <v>183.99999999999997</v>
      </c>
      <c r="AM59" s="123">
        <f t="shared" si="104"/>
        <v>0</v>
      </c>
      <c r="AN59" s="123">
        <f t="shared" si="104"/>
        <v>0</v>
      </c>
      <c r="AO59" s="123">
        <f t="shared" si="104"/>
        <v>166.8</v>
      </c>
      <c r="AP59" s="123">
        <f t="shared" si="104"/>
        <v>0</v>
      </c>
      <c r="AQ59" s="123">
        <f t="shared" si="104"/>
        <v>0</v>
      </c>
      <c r="AR59" s="123">
        <f t="shared" si="104"/>
        <v>163.10000000000002</v>
      </c>
      <c r="AS59" s="123">
        <f t="shared" si="104"/>
        <v>0</v>
      </c>
      <c r="AT59" s="123">
        <f t="shared" si="104"/>
        <v>0</v>
      </c>
      <c r="AU59" s="283"/>
      <c r="AV59" s="279"/>
    </row>
    <row r="60" spans="1:48" s="31" customFormat="1" ht="24">
      <c r="A60" s="225"/>
      <c r="B60" s="276"/>
      <c r="C60" s="228"/>
      <c r="D60" s="228"/>
      <c r="E60" s="109" t="s">
        <v>275</v>
      </c>
      <c r="F60" s="123">
        <f>F64+F68+F72</f>
        <v>0</v>
      </c>
      <c r="G60" s="123">
        <f t="shared" si="22"/>
        <v>0</v>
      </c>
      <c r="H60" s="123">
        <f t="shared" si="104"/>
        <v>0</v>
      </c>
      <c r="I60" s="123">
        <f t="shared" si="23"/>
        <v>0</v>
      </c>
      <c r="J60" s="123">
        <f t="shared" si="104"/>
        <v>0</v>
      </c>
      <c r="K60" s="123">
        <f t="shared" si="104"/>
        <v>0</v>
      </c>
      <c r="L60" s="123">
        <f t="shared" si="104"/>
        <v>0</v>
      </c>
      <c r="M60" s="123">
        <v>0</v>
      </c>
      <c r="N60" s="123">
        <f t="shared" si="104"/>
        <v>0</v>
      </c>
      <c r="O60" s="123">
        <f t="shared" si="104"/>
        <v>0</v>
      </c>
      <c r="P60" s="123">
        <v>0</v>
      </c>
      <c r="Q60" s="123">
        <f t="shared" si="104"/>
        <v>0</v>
      </c>
      <c r="R60" s="123">
        <f t="shared" si="104"/>
        <v>0</v>
      </c>
      <c r="S60" s="123">
        <v>0</v>
      </c>
      <c r="T60" s="123">
        <f t="shared" si="104"/>
        <v>0</v>
      </c>
      <c r="U60" s="123">
        <f t="shared" si="104"/>
        <v>0</v>
      </c>
      <c r="V60" s="123">
        <v>0</v>
      </c>
      <c r="W60" s="123">
        <f t="shared" si="104"/>
        <v>0</v>
      </c>
      <c r="X60" s="123">
        <f t="shared" si="104"/>
        <v>0</v>
      </c>
      <c r="Y60" s="123">
        <f t="shared" si="104"/>
        <v>0</v>
      </c>
      <c r="Z60" s="123">
        <f t="shared" si="104"/>
        <v>0</v>
      </c>
      <c r="AA60" s="123">
        <f t="shared" si="104"/>
        <v>0</v>
      </c>
      <c r="AB60" s="123">
        <f t="shared" si="104"/>
        <v>0</v>
      </c>
      <c r="AC60" s="123">
        <f t="shared" si="104"/>
        <v>0</v>
      </c>
      <c r="AD60" s="123">
        <f t="shared" si="104"/>
        <v>0</v>
      </c>
      <c r="AE60" s="123">
        <f t="shared" si="104"/>
        <v>0</v>
      </c>
      <c r="AF60" s="123">
        <f t="shared" si="104"/>
        <v>0</v>
      </c>
      <c r="AG60" s="123">
        <f t="shared" si="104"/>
        <v>0</v>
      </c>
      <c r="AH60" s="123">
        <f t="shared" si="104"/>
        <v>0</v>
      </c>
      <c r="AI60" s="123">
        <f t="shared" si="104"/>
        <v>0</v>
      </c>
      <c r="AJ60" s="123">
        <f t="shared" si="104"/>
        <v>0</v>
      </c>
      <c r="AK60" s="123">
        <f t="shared" si="104"/>
        <v>0</v>
      </c>
      <c r="AL60" s="123">
        <f t="shared" si="104"/>
        <v>0</v>
      </c>
      <c r="AM60" s="123">
        <f t="shared" si="104"/>
        <v>0</v>
      </c>
      <c r="AN60" s="123">
        <f t="shared" si="104"/>
        <v>0</v>
      </c>
      <c r="AO60" s="123">
        <f t="shared" si="104"/>
        <v>0</v>
      </c>
      <c r="AP60" s="123">
        <f t="shared" si="104"/>
        <v>0</v>
      </c>
      <c r="AQ60" s="123">
        <f t="shared" si="104"/>
        <v>0</v>
      </c>
      <c r="AR60" s="123">
        <f t="shared" si="104"/>
        <v>0</v>
      </c>
      <c r="AS60" s="123">
        <f t="shared" si="104"/>
        <v>0</v>
      </c>
      <c r="AT60" s="123">
        <f t="shared" si="104"/>
        <v>0</v>
      </c>
      <c r="AU60" s="283"/>
      <c r="AV60" s="279"/>
    </row>
    <row r="61" spans="1:48" s="31" customFormat="1" ht="12.75" customHeight="1">
      <c r="A61" s="225"/>
      <c r="B61" s="233" t="s">
        <v>260</v>
      </c>
      <c r="C61" s="228"/>
      <c r="D61" s="228"/>
      <c r="E61" s="107" t="s">
        <v>42</v>
      </c>
      <c r="F61" s="123">
        <f>SUM(F62:F64)</f>
        <v>6795.6</v>
      </c>
      <c r="G61" s="123">
        <f t="shared" si="22"/>
        <v>3304.1</v>
      </c>
      <c r="H61" s="123">
        <f t="shared" ref="H61:O61" si="105">SUM(H62:H64)</f>
        <v>3006.4</v>
      </c>
      <c r="I61" s="123">
        <f t="shared" si="23"/>
        <v>1682</v>
      </c>
      <c r="J61" s="123">
        <f t="shared" ref="J61:J63" si="106">H61/F61*100</f>
        <v>44.240390841132502</v>
      </c>
      <c r="K61" s="123">
        <f t="shared" si="105"/>
        <v>195.2</v>
      </c>
      <c r="L61" s="123">
        <f t="shared" si="105"/>
        <v>58.1</v>
      </c>
      <c r="M61" s="123">
        <f t="shared" si="87"/>
        <v>29.764344262295083</v>
      </c>
      <c r="N61" s="123">
        <f t="shared" si="105"/>
        <v>514.1</v>
      </c>
      <c r="O61" s="123">
        <f t="shared" si="105"/>
        <v>465.3</v>
      </c>
      <c r="P61" s="123">
        <f t="shared" si="26"/>
        <v>90.50768333009141</v>
      </c>
      <c r="Q61" s="123">
        <f t="shared" ref="Q61:R61" si="107">SUM(Q62:Q64)</f>
        <v>578.1</v>
      </c>
      <c r="R61" s="123">
        <f t="shared" si="107"/>
        <v>500.20000000000005</v>
      </c>
      <c r="S61" s="123">
        <f t="shared" si="27"/>
        <v>86.524822695035468</v>
      </c>
      <c r="T61" s="123">
        <f t="shared" ref="T61:AR61" si="108">SUM(T62:T64)</f>
        <v>532.20000000000005</v>
      </c>
      <c r="U61" s="123">
        <f t="shared" si="108"/>
        <v>658.4</v>
      </c>
      <c r="V61" s="123">
        <f t="shared" si="28"/>
        <v>123.71288989101841</v>
      </c>
      <c r="W61" s="123">
        <f t="shared" si="108"/>
        <v>582.59999999999991</v>
      </c>
      <c r="X61" s="123">
        <f t="shared" si="108"/>
        <v>738.7</v>
      </c>
      <c r="Y61" s="123">
        <f t="shared" ref="Y61:Y63" si="109">X61/W61*100</f>
        <v>126.79368348781328</v>
      </c>
      <c r="Z61" s="123">
        <f t="shared" si="108"/>
        <v>901.9</v>
      </c>
      <c r="AA61" s="123">
        <f t="shared" si="108"/>
        <v>585.70000000000005</v>
      </c>
      <c r="AB61" s="123">
        <f>AA61/Z61*100</f>
        <v>64.940680785009434</v>
      </c>
      <c r="AC61" s="104">
        <f t="shared" si="108"/>
        <v>793.3</v>
      </c>
      <c r="AD61" s="123">
        <f t="shared" si="108"/>
        <v>0</v>
      </c>
      <c r="AE61" s="123">
        <f t="shared" si="108"/>
        <v>0</v>
      </c>
      <c r="AF61" s="104">
        <f t="shared" si="108"/>
        <v>679.5</v>
      </c>
      <c r="AG61" s="104">
        <f t="shared" si="108"/>
        <v>0</v>
      </c>
      <c r="AH61" s="104">
        <f t="shared" si="108"/>
        <v>0</v>
      </c>
      <c r="AI61" s="104">
        <f t="shared" si="108"/>
        <v>570.4</v>
      </c>
      <c r="AJ61" s="123">
        <f t="shared" si="108"/>
        <v>0</v>
      </c>
      <c r="AK61" s="123">
        <f t="shared" si="108"/>
        <v>0</v>
      </c>
      <c r="AL61" s="123">
        <f t="shared" si="108"/>
        <v>443.4</v>
      </c>
      <c r="AM61" s="123">
        <f t="shared" si="108"/>
        <v>0</v>
      </c>
      <c r="AN61" s="123">
        <f t="shared" si="108"/>
        <v>0</v>
      </c>
      <c r="AO61" s="104">
        <f t="shared" si="108"/>
        <v>399.20000000000005</v>
      </c>
      <c r="AP61" s="123">
        <f t="shared" si="108"/>
        <v>0</v>
      </c>
      <c r="AQ61" s="123">
        <f t="shared" si="108"/>
        <v>0</v>
      </c>
      <c r="AR61" s="104">
        <f t="shared" si="108"/>
        <v>605.70000000000005</v>
      </c>
      <c r="AS61" s="123"/>
      <c r="AT61" s="123"/>
      <c r="AU61" s="283"/>
      <c r="AV61" s="279"/>
    </row>
    <row r="62" spans="1:48" s="31" customFormat="1" ht="36">
      <c r="A62" s="225"/>
      <c r="B62" s="233"/>
      <c r="C62" s="228"/>
      <c r="D62" s="228"/>
      <c r="E62" s="108" t="s">
        <v>3</v>
      </c>
      <c r="F62" s="123">
        <f>K62+N62+Q62+T62+W62+Z62+AC62+AF62+AI62+AL62+AO62+AR62</f>
        <v>3102.2</v>
      </c>
      <c r="G62" s="123">
        <f t="shared" si="22"/>
        <v>1268.6999999999998</v>
      </c>
      <c r="H62" s="123">
        <f>L62+O62+R62+U62+X62+AA62+AD62+AG62+AJ62+AM62+AP62+AS62</f>
        <v>1095.7</v>
      </c>
      <c r="I62" s="123">
        <f t="shared" si="23"/>
        <v>810.8</v>
      </c>
      <c r="J62" s="123">
        <f t="shared" si="106"/>
        <v>35.320095416156278</v>
      </c>
      <c r="K62" s="104">
        <v>0</v>
      </c>
      <c r="L62" s="104">
        <v>0</v>
      </c>
      <c r="M62" s="123">
        <v>0</v>
      </c>
      <c r="N62" s="126">
        <v>249.9</v>
      </c>
      <c r="O62" s="104">
        <v>172.8</v>
      </c>
      <c r="P62" s="123">
        <f t="shared" si="26"/>
        <v>69.147659063625454</v>
      </c>
      <c r="Q62" s="104">
        <v>243.5</v>
      </c>
      <c r="R62" s="104">
        <v>266.3</v>
      </c>
      <c r="S62" s="123">
        <f t="shared" si="27"/>
        <v>109.36344969199179</v>
      </c>
      <c r="T62" s="104">
        <v>243.5</v>
      </c>
      <c r="U62" s="104">
        <v>371.7</v>
      </c>
      <c r="V62" s="123">
        <f t="shared" si="28"/>
        <v>152.6488706365503</v>
      </c>
      <c r="W62" s="105">
        <v>265.89999999999998</v>
      </c>
      <c r="X62" s="105">
        <v>186.5</v>
      </c>
      <c r="Y62" s="123">
        <f t="shared" si="109"/>
        <v>70.139150056412191</v>
      </c>
      <c r="Z62" s="105">
        <v>265.89999999999998</v>
      </c>
      <c r="AA62" s="105">
        <v>98.4</v>
      </c>
      <c r="AB62" s="105">
        <f>AA62/Z62*100</f>
        <v>37.006393380970295</v>
      </c>
      <c r="AC62" s="105">
        <v>343.7</v>
      </c>
      <c r="AD62" s="105">
        <v>0</v>
      </c>
      <c r="AE62" s="105">
        <v>0</v>
      </c>
      <c r="AF62" s="105">
        <f>343.7-47.7</f>
        <v>296</v>
      </c>
      <c r="AG62" s="105">
        <v>0</v>
      </c>
      <c r="AH62" s="105">
        <v>0</v>
      </c>
      <c r="AI62" s="105">
        <v>259.39999999999998</v>
      </c>
      <c r="AJ62" s="105">
        <v>0</v>
      </c>
      <c r="AK62" s="105">
        <v>0</v>
      </c>
      <c r="AL62" s="104">
        <v>259.39999999999998</v>
      </c>
      <c r="AM62" s="104">
        <v>0</v>
      </c>
      <c r="AN62" s="104">
        <v>0</v>
      </c>
      <c r="AO62" s="105">
        <v>232.4</v>
      </c>
      <c r="AP62" s="105">
        <v>0</v>
      </c>
      <c r="AQ62" s="105">
        <v>0</v>
      </c>
      <c r="AR62" s="104">
        <v>442.6</v>
      </c>
      <c r="AS62" s="104"/>
      <c r="AT62" s="104"/>
      <c r="AU62" s="283"/>
      <c r="AV62" s="279"/>
    </row>
    <row r="63" spans="1:48" s="31" customFormat="1" ht="24">
      <c r="A63" s="225"/>
      <c r="B63" s="233"/>
      <c r="C63" s="228"/>
      <c r="D63" s="228"/>
      <c r="E63" s="108" t="s">
        <v>44</v>
      </c>
      <c r="F63" s="123">
        <f t="shared" ref="F63:F64" si="110">K63+N63+Q63+T63+W63+Z63+AC63+AF63+AI63+AL63+AO63+AR63</f>
        <v>3693.4</v>
      </c>
      <c r="G63" s="123">
        <f t="shared" si="22"/>
        <v>2035.4</v>
      </c>
      <c r="H63" s="123">
        <f t="shared" ref="H63:H64" si="111">L63+O63+R63+U63+X63+AA63+AD63+AG63+AJ63+AM63+AP63+AS63</f>
        <v>1910.7</v>
      </c>
      <c r="I63" s="123">
        <f t="shared" si="23"/>
        <v>871.2</v>
      </c>
      <c r="J63" s="123">
        <f t="shared" si="106"/>
        <v>51.732820707207452</v>
      </c>
      <c r="K63" s="104">
        <v>195.2</v>
      </c>
      <c r="L63" s="104">
        <v>58.1</v>
      </c>
      <c r="M63" s="123">
        <f t="shared" si="87"/>
        <v>29.764344262295083</v>
      </c>
      <c r="N63" s="126">
        <v>264.2</v>
      </c>
      <c r="O63" s="104">
        <v>292.5</v>
      </c>
      <c r="P63" s="123">
        <f t="shared" si="26"/>
        <v>110.71158213474641</v>
      </c>
      <c r="Q63" s="104">
        <f>289.6+45</f>
        <v>334.6</v>
      </c>
      <c r="R63" s="104">
        <v>233.9</v>
      </c>
      <c r="S63" s="123">
        <f t="shared" si="27"/>
        <v>69.904363419007765</v>
      </c>
      <c r="T63" s="104">
        <v>288.7</v>
      </c>
      <c r="U63" s="104">
        <v>286.7</v>
      </c>
      <c r="V63" s="123">
        <f t="shared" si="28"/>
        <v>99.307239348804984</v>
      </c>
      <c r="W63" s="105">
        <v>316.7</v>
      </c>
      <c r="X63" s="105">
        <v>552.20000000000005</v>
      </c>
      <c r="Y63" s="123">
        <f t="shared" si="109"/>
        <v>174.36059362172404</v>
      </c>
      <c r="Z63" s="105">
        <f>319.6+316.4</f>
        <v>636</v>
      </c>
      <c r="AA63" s="105">
        <v>487.3</v>
      </c>
      <c r="AB63" s="105">
        <f>AA63/Z63*100</f>
        <v>76.619496855345915</v>
      </c>
      <c r="AC63" s="105">
        <v>449.6</v>
      </c>
      <c r="AD63" s="105">
        <v>0</v>
      </c>
      <c r="AE63" s="105">
        <v>0</v>
      </c>
      <c r="AF63" s="105">
        <f>406.1-22.6</f>
        <v>383.5</v>
      </c>
      <c r="AG63" s="105">
        <v>0</v>
      </c>
      <c r="AH63" s="105">
        <v>0</v>
      </c>
      <c r="AI63" s="105">
        <v>311</v>
      </c>
      <c r="AJ63" s="105">
        <v>0</v>
      </c>
      <c r="AK63" s="105">
        <v>0</v>
      </c>
      <c r="AL63" s="104">
        <f>300.4-116.4</f>
        <v>183.99999999999997</v>
      </c>
      <c r="AM63" s="104">
        <v>0</v>
      </c>
      <c r="AN63" s="104">
        <v>0</v>
      </c>
      <c r="AO63" s="105">
        <f>266.8-100</f>
        <v>166.8</v>
      </c>
      <c r="AP63" s="105">
        <v>0</v>
      </c>
      <c r="AQ63" s="105">
        <v>0</v>
      </c>
      <c r="AR63" s="104">
        <f>308.1-45-100</f>
        <v>163.10000000000002</v>
      </c>
      <c r="AS63" s="104"/>
      <c r="AT63" s="104"/>
      <c r="AU63" s="283"/>
      <c r="AV63" s="279"/>
    </row>
    <row r="64" spans="1:48" s="31" customFormat="1" ht="24">
      <c r="A64" s="225"/>
      <c r="B64" s="233"/>
      <c r="C64" s="228"/>
      <c r="D64" s="228"/>
      <c r="E64" s="109" t="s">
        <v>275</v>
      </c>
      <c r="F64" s="123">
        <f t="shared" si="110"/>
        <v>0</v>
      </c>
      <c r="G64" s="123">
        <f t="shared" si="22"/>
        <v>0</v>
      </c>
      <c r="H64" s="123">
        <f t="shared" si="111"/>
        <v>0</v>
      </c>
      <c r="I64" s="123">
        <f t="shared" si="23"/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05">
        <v>0</v>
      </c>
      <c r="AD64" s="117">
        <v>0</v>
      </c>
      <c r="AE64" s="117">
        <v>0</v>
      </c>
      <c r="AF64" s="105">
        <v>0</v>
      </c>
      <c r="AG64" s="105">
        <v>0</v>
      </c>
      <c r="AH64" s="105">
        <v>0</v>
      </c>
      <c r="AI64" s="105">
        <v>0</v>
      </c>
      <c r="AJ64" s="117"/>
      <c r="AK64" s="117"/>
      <c r="AL64" s="123">
        <v>0</v>
      </c>
      <c r="AM64" s="123">
        <v>0</v>
      </c>
      <c r="AN64" s="123">
        <v>0</v>
      </c>
      <c r="AO64" s="117">
        <v>0</v>
      </c>
      <c r="AP64" s="117">
        <v>0</v>
      </c>
      <c r="AQ64" s="117">
        <v>0</v>
      </c>
      <c r="AR64" s="117">
        <v>0</v>
      </c>
      <c r="AS64" s="123"/>
      <c r="AT64" s="123"/>
      <c r="AU64" s="283"/>
      <c r="AV64" s="279"/>
    </row>
    <row r="65" spans="1:48" s="31" customFormat="1" ht="12.75" customHeight="1">
      <c r="A65" s="225"/>
      <c r="B65" s="233" t="s">
        <v>313</v>
      </c>
      <c r="C65" s="228"/>
      <c r="D65" s="228"/>
      <c r="E65" s="107" t="s">
        <v>42</v>
      </c>
      <c r="F65" s="123">
        <f>SUM(F66:F68)</f>
        <v>72.699999999999989</v>
      </c>
      <c r="G65" s="123">
        <f t="shared" si="22"/>
        <v>72.699999999999989</v>
      </c>
      <c r="H65" s="123">
        <f t="shared" ref="H65:O65" si="112">SUM(H66:H68)</f>
        <v>72.699999999999989</v>
      </c>
      <c r="I65" s="123">
        <f t="shared" si="23"/>
        <v>0</v>
      </c>
      <c r="J65" s="123">
        <f t="shared" si="112"/>
        <v>0</v>
      </c>
      <c r="K65" s="123">
        <f t="shared" si="112"/>
        <v>0</v>
      </c>
      <c r="L65" s="123">
        <f t="shared" si="112"/>
        <v>0</v>
      </c>
      <c r="M65" s="123">
        <v>0</v>
      </c>
      <c r="N65" s="123">
        <f t="shared" si="112"/>
        <v>0</v>
      </c>
      <c r="O65" s="123">
        <f t="shared" si="112"/>
        <v>0</v>
      </c>
      <c r="P65" s="123">
        <v>0</v>
      </c>
      <c r="Q65" s="123">
        <f t="shared" ref="Q65:R65" si="113">SUM(Q66:Q68)</f>
        <v>0</v>
      </c>
      <c r="R65" s="123">
        <f t="shared" si="113"/>
        <v>0</v>
      </c>
      <c r="S65" s="123">
        <v>0</v>
      </c>
      <c r="T65" s="123">
        <f t="shared" ref="T65:AR65" si="114">SUM(T66:T68)</f>
        <v>0</v>
      </c>
      <c r="U65" s="123">
        <f t="shared" si="114"/>
        <v>0</v>
      </c>
      <c r="V65" s="123">
        <v>0</v>
      </c>
      <c r="W65" s="104">
        <f t="shared" si="114"/>
        <v>21.9</v>
      </c>
      <c r="X65" s="123">
        <f t="shared" si="114"/>
        <v>21.9</v>
      </c>
      <c r="Y65" s="123">
        <f t="shared" si="114"/>
        <v>100</v>
      </c>
      <c r="Z65" s="123">
        <f t="shared" si="114"/>
        <v>50.8</v>
      </c>
      <c r="AA65" s="123">
        <f t="shared" si="114"/>
        <v>50.8</v>
      </c>
      <c r="AB65" s="123">
        <f t="shared" si="114"/>
        <v>100</v>
      </c>
      <c r="AC65" s="104">
        <f t="shared" si="114"/>
        <v>0</v>
      </c>
      <c r="AD65" s="123">
        <f t="shared" si="114"/>
        <v>0</v>
      </c>
      <c r="AE65" s="123">
        <f t="shared" si="114"/>
        <v>0</v>
      </c>
      <c r="AF65" s="104">
        <f t="shared" si="114"/>
        <v>0</v>
      </c>
      <c r="AG65" s="104">
        <f t="shared" si="114"/>
        <v>0</v>
      </c>
      <c r="AH65" s="104">
        <f t="shared" si="114"/>
        <v>0</v>
      </c>
      <c r="AI65" s="104">
        <f t="shared" si="114"/>
        <v>0</v>
      </c>
      <c r="AJ65" s="123">
        <f t="shared" si="114"/>
        <v>0</v>
      </c>
      <c r="AK65" s="123">
        <f t="shared" si="114"/>
        <v>0</v>
      </c>
      <c r="AL65" s="123">
        <f t="shared" si="114"/>
        <v>0</v>
      </c>
      <c r="AM65" s="123">
        <f t="shared" si="114"/>
        <v>0</v>
      </c>
      <c r="AN65" s="123">
        <f t="shared" si="114"/>
        <v>0</v>
      </c>
      <c r="AO65" s="104">
        <f t="shared" si="114"/>
        <v>0</v>
      </c>
      <c r="AP65" s="123">
        <f t="shared" si="114"/>
        <v>0</v>
      </c>
      <c r="AQ65" s="123">
        <f t="shared" si="114"/>
        <v>0</v>
      </c>
      <c r="AR65" s="104">
        <f t="shared" si="114"/>
        <v>0</v>
      </c>
      <c r="AS65" s="123"/>
      <c r="AT65" s="123"/>
      <c r="AU65" s="283"/>
      <c r="AV65" s="279"/>
    </row>
    <row r="66" spans="1:48" s="31" customFormat="1" ht="36">
      <c r="A66" s="225"/>
      <c r="B66" s="233"/>
      <c r="C66" s="228"/>
      <c r="D66" s="228"/>
      <c r="E66" s="108" t="s">
        <v>3</v>
      </c>
      <c r="F66" s="123">
        <f>K66+N66+Q66+T66+W66+Z66+AC66+AF66+AI66+AL66+AO66+AR66</f>
        <v>72.699999999999989</v>
      </c>
      <c r="G66" s="123">
        <f t="shared" si="22"/>
        <v>72.699999999999989</v>
      </c>
      <c r="H66" s="123">
        <f>L66+O66+R66+U66+X66+AA66+AD66+AG66+AJ66+AM66+AP66+AS66</f>
        <v>72.699999999999989</v>
      </c>
      <c r="I66" s="123">
        <f t="shared" si="23"/>
        <v>0</v>
      </c>
      <c r="J66" s="123">
        <v>0</v>
      </c>
      <c r="K66" s="104">
        <v>0</v>
      </c>
      <c r="L66" s="104">
        <v>0</v>
      </c>
      <c r="M66" s="123">
        <v>0</v>
      </c>
      <c r="N66" s="126">
        <v>0</v>
      </c>
      <c r="O66" s="104">
        <v>0</v>
      </c>
      <c r="P66" s="123">
        <v>0</v>
      </c>
      <c r="Q66" s="104">
        <v>0</v>
      </c>
      <c r="R66" s="104">
        <v>0</v>
      </c>
      <c r="S66" s="123">
        <v>0</v>
      </c>
      <c r="T66" s="104">
        <v>0</v>
      </c>
      <c r="U66" s="104">
        <v>0</v>
      </c>
      <c r="V66" s="123">
        <v>0</v>
      </c>
      <c r="W66" s="105">
        <v>21.9</v>
      </c>
      <c r="X66" s="105">
        <v>21.9</v>
      </c>
      <c r="Y66" s="105">
        <f>X66/W66*100</f>
        <v>100</v>
      </c>
      <c r="Z66" s="105">
        <v>50.8</v>
      </c>
      <c r="AA66" s="105">
        <v>50.8</v>
      </c>
      <c r="AB66" s="105">
        <f>AA66/Z66*100</f>
        <v>100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4">
        <v>0</v>
      </c>
      <c r="AM66" s="104">
        <v>0</v>
      </c>
      <c r="AN66" s="104">
        <v>0</v>
      </c>
      <c r="AO66" s="105">
        <v>0</v>
      </c>
      <c r="AP66" s="105">
        <v>0</v>
      </c>
      <c r="AQ66" s="105">
        <v>0</v>
      </c>
      <c r="AR66" s="104">
        <v>0</v>
      </c>
      <c r="AS66" s="104"/>
      <c r="AT66" s="104"/>
      <c r="AU66" s="283"/>
      <c r="AV66" s="279"/>
    </row>
    <row r="67" spans="1:48" s="31" customFormat="1" ht="24">
      <c r="A67" s="225"/>
      <c r="B67" s="233"/>
      <c r="C67" s="228"/>
      <c r="D67" s="228"/>
      <c r="E67" s="108" t="s">
        <v>44</v>
      </c>
      <c r="F67" s="123">
        <f t="shared" ref="F67:F68" si="115">K67+N67+Q67+T67+W67+Z67+AC67+AF67+AI67+AL67+AO67+AR67</f>
        <v>0</v>
      </c>
      <c r="G67" s="123">
        <f t="shared" si="22"/>
        <v>0</v>
      </c>
      <c r="H67" s="123">
        <f t="shared" ref="H67:H68" si="116">L67+O67+R67+U67+X67+AA67+AD67+AG67+AJ67+AM67+AP67+AS67</f>
        <v>0</v>
      </c>
      <c r="I67" s="123">
        <f t="shared" si="23"/>
        <v>0</v>
      </c>
      <c r="J67" s="123">
        <v>0</v>
      </c>
      <c r="K67" s="104">
        <v>0</v>
      </c>
      <c r="L67" s="104">
        <v>0</v>
      </c>
      <c r="M67" s="123">
        <v>0</v>
      </c>
      <c r="N67" s="126">
        <v>0</v>
      </c>
      <c r="O67" s="104">
        <v>0</v>
      </c>
      <c r="P67" s="123">
        <v>0</v>
      </c>
      <c r="Q67" s="104">
        <v>0</v>
      </c>
      <c r="R67" s="104">
        <v>0</v>
      </c>
      <c r="S67" s="123">
        <v>0</v>
      </c>
      <c r="T67" s="104">
        <v>0</v>
      </c>
      <c r="U67" s="104">
        <v>0</v>
      </c>
      <c r="V67" s="123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4">
        <v>0</v>
      </c>
      <c r="AM67" s="104">
        <v>0</v>
      </c>
      <c r="AN67" s="104">
        <v>0</v>
      </c>
      <c r="AO67" s="105">
        <v>0</v>
      </c>
      <c r="AP67" s="105">
        <v>0</v>
      </c>
      <c r="AQ67" s="105">
        <v>0</v>
      </c>
      <c r="AR67" s="104">
        <v>0</v>
      </c>
      <c r="AS67" s="104"/>
      <c r="AT67" s="104"/>
      <c r="AU67" s="283"/>
      <c r="AV67" s="279"/>
    </row>
    <row r="68" spans="1:48" s="31" customFormat="1" ht="24">
      <c r="A68" s="225"/>
      <c r="B68" s="233"/>
      <c r="C68" s="228"/>
      <c r="D68" s="228"/>
      <c r="E68" s="109" t="s">
        <v>275</v>
      </c>
      <c r="F68" s="123">
        <f t="shared" si="115"/>
        <v>0</v>
      </c>
      <c r="G68" s="123">
        <f t="shared" si="22"/>
        <v>0</v>
      </c>
      <c r="H68" s="123">
        <f t="shared" si="116"/>
        <v>0</v>
      </c>
      <c r="I68" s="123">
        <f t="shared" si="23"/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v>0</v>
      </c>
      <c r="V68" s="123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23">
        <v>0</v>
      </c>
      <c r="AD68" s="123">
        <v>0</v>
      </c>
      <c r="AE68" s="123">
        <v>0</v>
      </c>
      <c r="AF68" s="117">
        <v>0</v>
      </c>
      <c r="AG68" s="117">
        <v>0</v>
      </c>
      <c r="AH68" s="117">
        <v>0</v>
      </c>
      <c r="AI68" s="117">
        <v>0</v>
      </c>
      <c r="AJ68" s="117"/>
      <c r="AK68" s="117"/>
      <c r="AL68" s="123">
        <v>0</v>
      </c>
      <c r="AM68" s="123">
        <v>0</v>
      </c>
      <c r="AN68" s="123">
        <v>0</v>
      </c>
      <c r="AO68" s="117">
        <v>0</v>
      </c>
      <c r="AP68" s="117">
        <v>0</v>
      </c>
      <c r="AQ68" s="117">
        <v>0</v>
      </c>
      <c r="AR68" s="117">
        <v>0</v>
      </c>
      <c r="AS68" s="123"/>
      <c r="AT68" s="123"/>
      <c r="AU68" s="283"/>
      <c r="AV68" s="279"/>
    </row>
    <row r="69" spans="1:48" s="31" customFormat="1" ht="12.75" customHeight="1">
      <c r="A69" s="225"/>
      <c r="B69" s="277" t="s">
        <v>286</v>
      </c>
      <c r="C69" s="228"/>
      <c r="D69" s="228"/>
      <c r="E69" s="107" t="s">
        <v>42</v>
      </c>
      <c r="F69" s="123">
        <f>SUM(F70:F72)</f>
        <v>761.9</v>
      </c>
      <c r="G69" s="123">
        <f t="shared" si="22"/>
        <v>297.89999999999998</v>
      </c>
      <c r="H69" s="123">
        <f t="shared" ref="H69:O69" si="117">SUM(H70:H72)</f>
        <v>263.10000000000002</v>
      </c>
      <c r="I69" s="123">
        <f t="shared" si="23"/>
        <v>95.6</v>
      </c>
      <c r="J69" s="123">
        <f>H69/F69*100</f>
        <v>34.532090825567664</v>
      </c>
      <c r="K69" s="123">
        <f t="shared" si="117"/>
        <v>0</v>
      </c>
      <c r="L69" s="123">
        <f t="shared" si="117"/>
        <v>0</v>
      </c>
      <c r="M69" s="123">
        <v>0</v>
      </c>
      <c r="N69" s="123">
        <f t="shared" si="117"/>
        <v>15</v>
      </c>
      <c r="O69" s="123">
        <f t="shared" si="117"/>
        <v>15</v>
      </c>
      <c r="P69" s="123">
        <f t="shared" si="26"/>
        <v>100</v>
      </c>
      <c r="Q69" s="123">
        <f t="shared" ref="Q69:R69" si="118">SUM(Q70:Q72)</f>
        <v>38.5</v>
      </c>
      <c r="R69" s="123">
        <f t="shared" si="118"/>
        <v>23.5</v>
      </c>
      <c r="S69" s="123">
        <f t="shared" si="27"/>
        <v>61.038961038961034</v>
      </c>
      <c r="T69" s="123">
        <f t="shared" ref="T69:AR69" si="119">SUM(T70:T72)</f>
        <v>60.4</v>
      </c>
      <c r="U69" s="123">
        <f t="shared" si="119"/>
        <v>57.1</v>
      </c>
      <c r="V69" s="123">
        <f>U69/T69*100</f>
        <v>94.536423841059602</v>
      </c>
      <c r="W69" s="123">
        <f t="shared" si="119"/>
        <v>37</v>
      </c>
      <c r="X69" s="123">
        <f t="shared" si="119"/>
        <v>35.5</v>
      </c>
      <c r="Y69" s="123">
        <f t="shared" ref="Y69:Y71" si="120">X69/W69*100</f>
        <v>95.945945945945937</v>
      </c>
      <c r="Z69" s="123">
        <f t="shared" si="119"/>
        <v>147</v>
      </c>
      <c r="AA69" s="123">
        <f t="shared" si="119"/>
        <v>132</v>
      </c>
      <c r="AB69" s="123">
        <f t="shared" si="119"/>
        <v>89.795918367346943</v>
      </c>
      <c r="AC69" s="104">
        <f t="shared" si="119"/>
        <v>210</v>
      </c>
      <c r="AD69" s="123">
        <f t="shared" si="119"/>
        <v>0</v>
      </c>
      <c r="AE69" s="123">
        <f t="shared" si="119"/>
        <v>0</v>
      </c>
      <c r="AF69" s="104">
        <f t="shared" si="119"/>
        <v>150</v>
      </c>
      <c r="AG69" s="104">
        <f t="shared" si="119"/>
        <v>0</v>
      </c>
      <c r="AH69" s="104">
        <f t="shared" si="119"/>
        <v>0</v>
      </c>
      <c r="AI69" s="104">
        <f t="shared" si="119"/>
        <v>50</v>
      </c>
      <c r="AJ69" s="123">
        <f t="shared" si="119"/>
        <v>0</v>
      </c>
      <c r="AK69" s="123">
        <f t="shared" si="119"/>
        <v>0</v>
      </c>
      <c r="AL69" s="123">
        <f t="shared" si="119"/>
        <v>48.4</v>
      </c>
      <c r="AM69" s="123">
        <f t="shared" si="119"/>
        <v>0</v>
      </c>
      <c r="AN69" s="123">
        <f t="shared" si="119"/>
        <v>0</v>
      </c>
      <c r="AO69" s="104">
        <f t="shared" si="119"/>
        <v>5.6</v>
      </c>
      <c r="AP69" s="123">
        <f t="shared" si="119"/>
        <v>0</v>
      </c>
      <c r="AQ69" s="123">
        <f t="shared" si="119"/>
        <v>0</v>
      </c>
      <c r="AR69" s="104">
        <f t="shared" si="119"/>
        <v>0</v>
      </c>
      <c r="AS69" s="123"/>
      <c r="AT69" s="123"/>
      <c r="AU69" s="283"/>
      <c r="AV69" s="279"/>
    </row>
    <row r="70" spans="1:48" s="31" customFormat="1" ht="36">
      <c r="A70" s="225"/>
      <c r="B70" s="277"/>
      <c r="C70" s="228"/>
      <c r="D70" s="228"/>
      <c r="E70" s="108" t="s">
        <v>3</v>
      </c>
      <c r="F70" s="123">
        <f>K70+N70+Q70+T70+W70+Z70+AC70+AF70+AI70+AL70+AO70+AR70</f>
        <v>739.3</v>
      </c>
      <c r="G70" s="123">
        <f t="shared" si="22"/>
        <v>275.3</v>
      </c>
      <c r="H70" s="123">
        <f>L70+O70+R70+U70+X70+AA70+AD70+AG70+AJ70+AM70+AP70+AS70</f>
        <v>242.8</v>
      </c>
      <c r="I70" s="123">
        <f t="shared" si="23"/>
        <v>80.8</v>
      </c>
      <c r="J70" s="123">
        <f>H70/F70*100</f>
        <v>32.841877451643448</v>
      </c>
      <c r="K70" s="104">
        <v>0</v>
      </c>
      <c r="L70" s="104">
        <v>0</v>
      </c>
      <c r="M70" s="123">
        <v>0</v>
      </c>
      <c r="N70" s="126">
        <v>15</v>
      </c>
      <c r="O70" s="104">
        <v>15</v>
      </c>
      <c r="P70" s="123">
        <f t="shared" si="26"/>
        <v>100</v>
      </c>
      <c r="Q70" s="104">
        <f>15+15.9</f>
        <v>30.9</v>
      </c>
      <c r="R70" s="104">
        <v>15.9</v>
      </c>
      <c r="S70" s="123">
        <f t="shared" si="27"/>
        <v>51.456310679611647</v>
      </c>
      <c r="T70" s="104">
        <f>15+31.8+0.6+5</f>
        <v>52.4</v>
      </c>
      <c r="U70" s="104">
        <v>49.9</v>
      </c>
      <c r="V70" s="123">
        <f t="shared" si="28"/>
        <v>95.229007633587784</v>
      </c>
      <c r="W70" s="105">
        <f>15+15</f>
        <v>30</v>
      </c>
      <c r="X70" s="105">
        <v>30</v>
      </c>
      <c r="Y70" s="123">
        <f t="shared" si="120"/>
        <v>100</v>
      </c>
      <c r="Z70" s="105">
        <f>167.6-15-0.6-5</f>
        <v>147</v>
      </c>
      <c r="AA70" s="105">
        <v>132</v>
      </c>
      <c r="AB70" s="105">
        <f>AA70/Z70*100</f>
        <v>89.795918367346943</v>
      </c>
      <c r="AC70" s="105">
        <v>210</v>
      </c>
      <c r="AD70" s="105">
        <v>0</v>
      </c>
      <c r="AE70" s="105">
        <v>0</v>
      </c>
      <c r="AF70" s="105">
        <v>150</v>
      </c>
      <c r="AG70" s="105">
        <v>0</v>
      </c>
      <c r="AH70" s="105">
        <v>0</v>
      </c>
      <c r="AI70" s="105">
        <v>50</v>
      </c>
      <c r="AJ70" s="105">
        <v>0</v>
      </c>
      <c r="AK70" s="105">
        <v>0</v>
      </c>
      <c r="AL70" s="104">
        <f>50-1.6</f>
        <v>48.4</v>
      </c>
      <c r="AM70" s="104">
        <v>0</v>
      </c>
      <c r="AN70" s="104">
        <v>0</v>
      </c>
      <c r="AO70" s="105">
        <f>50-50+5.6</f>
        <v>5.6</v>
      </c>
      <c r="AP70" s="105">
        <v>0</v>
      </c>
      <c r="AQ70" s="105">
        <v>0</v>
      </c>
      <c r="AR70" s="104">
        <f>21.1-21.1</f>
        <v>0</v>
      </c>
      <c r="AS70" s="104"/>
      <c r="AT70" s="104"/>
      <c r="AU70" s="283"/>
      <c r="AV70" s="279"/>
    </row>
    <row r="71" spans="1:48" s="31" customFormat="1" ht="24">
      <c r="A71" s="225"/>
      <c r="B71" s="277"/>
      <c r="C71" s="228"/>
      <c r="D71" s="228"/>
      <c r="E71" s="108" t="s">
        <v>44</v>
      </c>
      <c r="F71" s="123">
        <f t="shared" ref="F71:F72" si="121">K71+N71+Q71+T71+W71+Z71+AC71+AF71+AI71+AL71+AO71+AR71</f>
        <v>22.6</v>
      </c>
      <c r="G71" s="123">
        <f t="shared" si="22"/>
        <v>22.6</v>
      </c>
      <c r="H71" s="123">
        <f t="shared" ref="H71:H72" si="122">L71+O71+R71+U71+X71+AA71+AD71+AG71+AJ71+AM71+AP71+AS71</f>
        <v>20.3</v>
      </c>
      <c r="I71" s="123">
        <f t="shared" si="23"/>
        <v>14.8</v>
      </c>
      <c r="J71" s="123">
        <f>H71/F71*100</f>
        <v>89.82300884955751</v>
      </c>
      <c r="K71" s="104">
        <v>0</v>
      </c>
      <c r="L71" s="104">
        <v>0</v>
      </c>
      <c r="M71" s="123">
        <v>0</v>
      </c>
      <c r="N71" s="126">
        <v>0</v>
      </c>
      <c r="O71" s="104">
        <v>0</v>
      </c>
      <c r="P71" s="123">
        <v>0</v>
      </c>
      <c r="Q71" s="104">
        <f>0+7.6</f>
        <v>7.6</v>
      </c>
      <c r="R71" s="104">
        <v>7.6</v>
      </c>
      <c r="S71" s="123">
        <f t="shared" si="27"/>
        <v>100</v>
      </c>
      <c r="T71" s="104">
        <v>8</v>
      </c>
      <c r="U71" s="104">
        <v>7.2</v>
      </c>
      <c r="V71" s="123">
        <f>U71/T71*100</f>
        <v>90</v>
      </c>
      <c r="W71" s="105">
        <f>0+15-8</f>
        <v>7</v>
      </c>
      <c r="X71" s="105">
        <v>5.5</v>
      </c>
      <c r="Y71" s="123">
        <f t="shared" si="120"/>
        <v>78.571428571428569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4">
        <v>0</v>
      </c>
      <c r="AM71" s="104">
        <v>0</v>
      </c>
      <c r="AN71" s="104">
        <v>0</v>
      </c>
      <c r="AO71" s="105">
        <v>0</v>
      </c>
      <c r="AP71" s="105">
        <v>0</v>
      </c>
      <c r="AQ71" s="105">
        <v>0</v>
      </c>
      <c r="AR71" s="104">
        <v>0</v>
      </c>
      <c r="AS71" s="104"/>
      <c r="AT71" s="104"/>
      <c r="AU71" s="283"/>
      <c r="AV71" s="279"/>
    </row>
    <row r="72" spans="1:48" s="31" customFormat="1" ht="24">
      <c r="A72" s="225"/>
      <c r="B72" s="277"/>
      <c r="C72" s="229"/>
      <c r="D72" s="229"/>
      <c r="E72" s="109" t="s">
        <v>275</v>
      </c>
      <c r="F72" s="123">
        <f t="shared" si="121"/>
        <v>0</v>
      </c>
      <c r="G72" s="123">
        <f t="shared" si="22"/>
        <v>0</v>
      </c>
      <c r="H72" s="123">
        <f t="shared" si="122"/>
        <v>0</v>
      </c>
      <c r="I72" s="123">
        <f t="shared" si="23"/>
        <v>0</v>
      </c>
      <c r="J72" s="123">
        <v>0</v>
      </c>
      <c r="K72" s="104">
        <v>0</v>
      </c>
      <c r="L72" s="104">
        <v>0</v>
      </c>
      <c r="M72" s="123">
        <v>0</v>
      </c>
      <c r="N72" s="126">
        <v>0</v>
      </c>
      <c r="O72" s="104">
        <v>0</v>
      </c>
      <c r="P72" s="123">
        <v>0</v>
      </c>
      <c r="Q72" s="104">
        <v>0</v>
      </c>
      <c r="R72" s="104">
        <v>0</v>
      </c>
      <c r="S72" s="123">
        <v>0</v>
      </c>
      <c r="T72" s="104">
        <v>0</v>
      </c>
      <c r="U72" s="104">
        <v>0</v>
      </c>
      <c r="V72" s="123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4">
        <v>0</v>
      </c>
      <c r="AM72" s="104">
        <v>0</v>
      </c>
      <c r="AN72" s="104">
        <v>0</v>
      </c>
      <c r="AO72" s="105">
        <v>0</v>
      </c>
      <c r="AP72" s="105">
        <v>0</v>
      </c>
      <c r="AQ72" s="105">
        <v>0</v>
      </c>
      <c r="AR72" s="104">
        <v>0</v>
      </c>
      <c r="AS72" s="104"/>
      <c r="AT72" s="104"/>
      <c r="AU72" s="284"/>
      <c r="AV72" s="280"/>
    </row>
    <row r="73" spans="1:48" s="31" customFormat="1" ht="12.75">
      <c r="A73" s="222" t="s">
        <v>273</v>
      </c>
      <c r="B73" s="223" t="s">
        <v>293</v>
      </c>
      <c r="C73" s="227" t="s">
        <v>306</v>
      </c>
      <c r="D73" s="227" t="s">
        <v>371</v>
      </c>
      <c r="E73" s="107" t="s">
        <v>42</v>
      </c>
      <c r="F73" s="123">
        <f>SUM(F74:F76)</f>
        <v>150</v>
      </c>
      <c r="G73" s="123">
        <f t="shared" si="22"/>
        <v>80</v>
      </c>
      <c r="H73" s="123">
        <f t="shared" ref="H73:R73" si="123">SUM(H74:H76)</f>
        <v>74</v>
      </c>
      <c r="I73" s="123">
        <f t="shared" si="23"/>
        <v>10</v>
      </c>
      <c r="J73" s="123">
        <f>H73/F73*100</f>
        <v>49.333333333333336</v>
      </c>
      <c r="K73" s="123">
        <f t="shared" si="123"/>
        <v>0</v>
      </c>
      <c r="L73" s="123">
        <f t="shared" si="123"/>
        <v>0</v>
      </c>
      <c r="M73" s="123">
        <v>0</v>
      </c>
      <c r="N73" s="123">
        <f t="shared" si="123"/>
        <v>5</v>
      </c>
      <c r="O73" s="123">
        <f t="shared" si="123"/>
        <v>5</v>
      </c>
      <c r="P73" s="123">
        <f t="shared" si="26"/>
        <v>100</v>
      </c>
      <c r="Q73" s="123">
        <f t="shared" si="123"/>
        <v>5</v>
      </c>
      <c r="R73" s="123">
        <f t="shared" si="123"/>
        <v>5</v>
      </c>
      <c r="S73" s="123">
        <f>R73/Q73*100</f>
        <v>100</v>
      </c>
      <c r="T73" s="123">
        <f t="shared" ref="T73:AD73" si="124">SUM(T74:T76)</f>
        <v>0</v>
      </c>
      <c r="U73" s="123">
        <f t="shared" si="124"/>
        <v>0</v>
      </c>
      <c r="V73" s="123">
        <v>0</v>
      </c>
      <c r="W73" s="123">
        <f t="shared" si="124"/>
        <v>0</v>
      </c>
      <c r="X73" s="123">
        <f t="shared" si="124"/>
        <v>0</v>
      </c>
      <c r="Y73" s="123">
        <f t="shared" si="124"/>
        <v>0</v>
      </c>
      <c r="Z73" s="123">
        <f t="shared" si="124"/>
        <v>70</v>
      </c>
      <c r="AA73" s="123">
        <f t="shared" si="124"/>
        <v>64</v>
      </c>
      <c r="AB73" s="123">
        <f t="shared" si="124"/>
        <v>91.428571428571431</v>
      </c>
      <c r="AC73" s="104">
        <f t="shared" si="124"/>
        <v>0</v>
      </c>
      <c r="AD73" s="123">
        <f t="shared" si="124"/>
        <v>0</v>
      </c>
      <c r="AE73" s="123">
        <f>SUM(AE74:AE76)</f>
        <v>0</v>
      </c>
      <c r="AF73" s="104">
        <f t="shared" ref="AF73:AT73" si="125">SUM(AF74:AF76)</f>
        <v>0</v>
      </c>
      <c r="AG73" s="104">
        <f t="shared" si="125"/>
        <v>0</v>
      </c>
      <c r="AH73" s="104">
        <f t="shared" si="125"/>
        <v>0</v>
      </c>
      <c r="AI73" s="104">
        <f t="shared" si="125"/>
        <v>5</v>
      </c>
      <c r="AJ73" s="123">
        <f t="shared" si="125"/>
        <v>0</v>
      </c>
      <c r="AK73" s="123">
        <f t="shared" si="125"/>
        <v>0</v>
      </c>
      <c r="AL73" s="123">
        <f t="shared" si="125"/>
        <v>0</v>
      </c>
      <c r="AM73" s="123">
        <f t="shared" si="125"/>
        <v>0</v>
      </c>
      <c r="AN73" s="123">
        <f t="shared" si="125"/>
        <v>0</v>
      </c>
      <c r="AO73" s="104">
        <f t="shared" si="125"/>
        <v>0</v>
      </c>
      <c r="AP73" s="123">
        <f t="shared" si="125"/>
        <v>0</v>
      </c>
      <c r="AQ73" s="123">
        <f t="shared" si="125"/>
        <v>0</v>
      </c>
      <c r="AR73" s="104">
        <f t="shared" si="125"/>
        <v>65</v>
      </c>
      <c r="AS73" s="123">
        <f t="shared" si="125"/>
        <v>0</v>
      </c>
      <c r="AT73" s="123">
        <f t="shared" si="125"/>
        <v>0</v>
      </c>
      <c r="AU73" s="282" t="s">
        <v>380</v>
      </c>
      <c r="AV73" s="237" t="s">
        <v>381</v>
      </c>
    </row>
    <row r="74" spans="1:48" s="31" customFormat="1" ht="36">
      <c r="A74" s="222"/>
      <c r="B74" s="223"/>
      <c r="C74" s="228"/>
      <c r="D74" s="228"/>
      <c r="E74" s="108" t="s">
        <v>3</v>
      </c>
      <c r="F74" s="123">
        <f>K74+N74+Q74+T74+W74+Z74+AC74+AF74+AI74+AL74+AO74+AR74</f>
        <v>0</v>
      </c>
      <c r="G74" s="123">
        <f t="shared" si="22"/>
        <v>0</v>
      </c>
      <c r="H74" s="123">
        <f>L74+O74+R74+U74+X74+AA74+AD74+AG74+AJ74+AM74+AP74+AS74</f>
        <v>0</v>
      </c>
      <c r="I74" s="123">
        <f t="shared" si="23"/>
        <v>0</v>
      </c>
      <c r="J74" s="123">
        <v>0</v>
      </c>
      <c r="K74" s="104">
        <v>0</v>
      </c>
      <c r="L74" s="104">
        <v>0</v>
      </c>
      <c r="M74" s="123">
        <v>0</v>
      </c>
      <c r="N74" s="126">
        <v>0</v>
      </c>
      <c r="O74" s="104">
        <v>0</v>
      </c>
      <c r="P74" s="123">
        <v>0</v>
      </c>
      <c r="Q74" s="104">
        <v>0</v>
      </c>
      <c r="R74" s="104">
        <v>0</v>
      </c>
      <c r="S74" s="123">
        <v>0</v>
      </c>
      <c r="T74" s="104">
        <v>0</v>
      </c>
      <c r="U74" s="104">
        <v>0</v>
      </c>
      <c r="V74" s="123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4">
        <v>0</v>
      </c>
      <c r="AM74" s="104">
        <v>0</v>
      </c>
      <c r="AN74" s="104">
        <v>0</v>
      </c>
      <c r="AO74" s="105">
        <v>0</v>
      </c>
      <c r="AP74" s="105">
        <v>0</v>
      </c>
      <c r="AQ74" s="105">
        <v>0</v>
      </c>
      <c r="AR74" s="104">
        <v>0</v>
      </c>
      <c r="AS74" s="104"/>
      <c r="AT74" s="104"/>
      <c r="AU74" s="283"/>
      <c r="AV74" s="238"/>
    </row>
    <row r="75" spans="1:48" s="31" customFormat="1" ht="24">
      <c r="A75" s="222"/>
      <c r="B75" s="223"/>
      <c r="C75" s="228"/>
      <c r="D75" s="228"/>
      <c r="E75" s="108" t="s">
        <v>44</v>
      </c>
      <c r="F75" s="123">
        <f t="shared" ref="F75:F76" si="126">K75+N75+Q75+T75+W75+Z75+AC75+AF75+AI75+AL75+AO75+AR75</f>
        <v>150</v>
      </c>
      <c r="G75" s="123">
        <f t="shared" si="22"/>
        <v>80</v>
      </c>
      <c r="H75" s="123">
        <f t="shared" ref="H75:H76" si="127">L75+O75+R75+U75+X75+AA75+AD75+AG75+AJ75+AM75+AP75+AS75</f>
        <v>74</v>
      </c>
      <c r="I75" s="123">
        <f t="shared" si="23"/>
        <v>10</v>
      </c>
      <c r="J75" s="123">
        <f>H75/F75*100</f>
        <v>49.333333333333336</v>
      </c>
      <c r="K75" s="104">
        <v>0</v>
      </c>
      <c r="L75" s="104">
        <v>0</v>
      </c>
      <c r="M75" s="123">
        <v>0</v>
      </c>
      <c r="N75" s="126">
        <f>5</f>
        <v>5</v>
      </c>
      <c r="O75" s="104">
        <v>5</v>
      </c>
      <c r="P75" s="123">
        <f t="shared" si="26"/>
        <v>100</v>
      </c>
      <c r="Q75" s="104">
        <v>5</v>
      </c>
      <c r="R75" s="104">
        <v>5</v>
      </c>
      <c r="S75" s="123">
        <f>R75/Q75*100</f>
        <v>100</v>
      </c>
      <c r="T75" s="104">
        <v>0</v>
      </c>
      <c r="U75" s="104">
        <v>0</v>
      </c>
      <c r="V75" s="123">
        <v>0</v>
      </c>
      <c r="W75" s="105">
        <v>0</v>
      </c>
      <c r="X75" s="105">
        <v>0</v>
      </c>
      <c r="Y75" s="105">
        <v>0</v>
      </c>
      <c r="Z75" s="105">
        <v>70</v>
      </c>
      <c r="AA75" s="105">
        <v>64</v>
      </c>
      <c r="AB75" s="105">
        <f>AA75/Z75*100</f>
        <v>91.428571428571431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f>5</f>
        <v>5</v>
      </c>
      <c r="AJ75" s="105">
        <v>0</v>
      </c>
      <c r="AK75" s="105">
        <v>0</v>
      </c>
      <c r="AL75" s="104">
        <v>0</v>
      </c>
      <c r="AM75" s="104">
        <v>0</v>
      </c>
      <c r="AN75" s="104">
        <v>0</v>
      </c>
      <c r="AO75" s="105">
        <v>0</v>
      </c>
      <c r="AP75" s="105">
        <v>0</v>
      </c>
      <c r="AQ75" s="105">
        <v>0</v>
      </c>
      <c r="AR75" s="104">
        <v>65</v>
      </c>
      <c r="AS75" s="104"/>
      <c r="AT75" s="104"/>
      <c r="AU75" s="283"/>
      <c r="AV75" s="238"/>
    </row>
    <row r="76" spans="1:48" s="31" customFormat="1" ht="24">
      <c r="A76" s="222"/>
      <c r="B76" s="223"/>
      <c r="C76" s="229"/>
      <c r="D76" s="229"/>
      <c r="E76" s="109" t="s">
        <v>275</v>
      </c>
      <c r="F76" s="123">
        <f t="shared" si="126"/>
        <v>0</v>
      </c>
      <c r="G76" s="123">
        <f t="shared" si="22"/>
        <v>0</v>
      </c>
      <c r="H76" s="123">
        <f t="shared" si="127"/>
        <v>0</v>
      </c>
      <c r="I76" s="123">
        <f t="shared" si="23"/>
        <v>0</v>
      </c>
      <c r="J76" s="123">
        <v>0</v>
      </c>
      <c r="K76" s="104">
        <v>0</v>
      </c>
      <c r="L76" s="104">
        <v>0</v>
      </c>
      <c r="M76" s="123">
        <v>0</v>
      </c>
      <c r="N76" s="126">
        <v>0</v>
      </c>
      <c r="O76" s="104">
        <v>0</v>
      </c>
      <c r="P76" s="123">
        <v>0</v>
      </c>
      <c r="Q76" s="104">
        <v>0</v>
      </c>
      <c r="R76" s="104">
        <v>0</v>
      </c>
      <c r="S76" s="123">
        <v>0</v>
      </c>
      <c r="T76" s="104">
        <v>0</v>
      </c>
      <c r="U76" s="104">
        <v>0</v>
      </c>
      <c r="V76" s="123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4">
        <v>0</v>
      </c>
      <c r="AM76" s="104">
        <v>0</v>
      </c>
      <c r="AN76" s="104">
        <v>0</v>
      </c>
      <c r="AO76" s="105">
        <v>0</v>
      </c>
      <c r="AP76" s="105">
        <v>0</v>
      </c>
      <c r="AQ76" s="105">
        <v>0</v>
      </c>
      <c r="AR76" s="104">
        <v>0</v>
      </c>
      <c r="AS76" s="104"/>
      <c r="AT76" s="104"/>
      <c r="AU76" s="284"/>
      <c r="AV76" s="239"/>
    </row>
    <row r="77" spans="1:48" s="31" customFormat="1" ht="12.75">
      <c r="A77" s="222" t="s">
        <v>283</v>
      </c>
      <c r="B77" s="276" t="s">
        <v>284</v>
      </c>
      <c r="C77" s="227" t="s">
        <v>314</v>
      </c>
      <c r="D77" s="227">
        <v>11</v>
      </c>
      <c r="E77" s="107" t="s">
        <v>42</v>
      </c>
      <c r="F77" s="123">
        <f>SUM(F78:F80)</f>
        <v>78391.899999999994</v>
      </c>
      <c r="G77" s="123">
        <f t="shared" si="22"/>
        <v>29240.400000000001</v>
      </c>
      <c r="H77" s="123">
        <f t="shared" ref="H77:R77" si="128">SUM(H78:H80)</f>
        <v>25674.500000000004</v>
      </c>
      <c r="I77" s="123">
        <f t="shared" si="23"/>
        <v>15338.2</v>
      </c>
      <c r="J77" s="123">
        <f>H77/F77*100</f>
        <v>32.751470496314042</v>
      </c>
      <c r="K77" s="123">
        <f t="shared" si="128"/>
        <v>0</v>
      </c>
      <c r="L77" s="123">
        <f t="shared" si="128"/>
        <v>0</v>
      </c>
      <c r="M77" s="123">
        <v>0</v>
      </c>
      <c r="N77" s="123">
        <f t="shared" si="128"/>
        <v>5400</v>
      </c>
      <c r="O77" s="123">
        <f t="shared" si="128"/>
        <v>5162.7</v>
      </c>
      <c r="P77" s="123">
        <f t="shared" si="26"/>
        <v>95.605555555555554</v>
      </c>
      <c r="Q77" s="123">
        <f t="shared" si="128"/>
        <v>5400</v>
      </c>
      <c r="R77" s="123">
        <f t="shared" si="128"/>
        <v>5116.7</v>
      </c>
      <c r="S77" s="123">
        <f t="shared" si="27"/>
        <v>94.753703703703692</v>
      </c>
      <c r="T77" s="123">
        <f t="shared" ref="T77:AD77" si="129">SUM(T78:T80)</f>
        <v>5500</v>
      </c>
      <c r="U77" s="123">
        <f t="shared" si="129"/>
        <v>5058.8</v>
      </c>
      <c r="V77" s="123">
        <f t="shared" si="28"/>
        <v>91.978181818181824</v>
      </c>
      <c r="W77" s="123">
        <f t="shared" si="129"/>
        <v>5500</v>
      </c>
      <c r="X77" s="123">
        <f t="shared" si="129"/>
        <v>5050.1000000000004</v>
      </c>
      <c r="Y77" s="123">
        <f t="shared" ref="Y77:Y78" si="130">X77/W77*100</f>
        <v>91.820000000000007</v>
      </c>
      <c r="Z77" s="123">
        <f t="shared" si="129"/>
        <v>7440.4</v>
      </c>
      <c r="AA77" s="123">
        <f t="shared" si="129"/>
        <v>5286.2</v>
      </c>
      <c r="AB77" s="123">
        <f t="shared" si="129"/>
        <v>71.047255523896567</v>
      </c>
      <c r="AC77" s="104">
        <f t="shared" si="129"/>
        <v>6459</v>
      </c>
      <c r="AD77" s="123">
        <f t="shared" si="129"/>
        <v>0</v>
      </c>
      <c r="AE77" s="123">
        <f>SUM(AE78:AE80)</f>
        <v>0</v>
      </c>
      <c r="AF77" s="104">
        <f t="shared" ref="AF77:AT77" si="131">SUM(AF78:AF80)</f>
        <v>7736</v>
      </c>
      <c r="AG77" s="104">
        <f t="shared" si="131"/>
        <v>0</v>
      </c>
      <c r="AH77" s="104">
        <f t="shared" si="131"/>
        <v>0</v>
      </c>
      <c r="AI77" s="104">
        <f t="shared" si="131"/>
        <v>5500</v>
      </c>
      <c r="AJ77" s="123">
        <f t="shared" si="131"/>
        <v>0</v>
      </c>
      <c r="AK77" s="123">
        <f t="shared" si="131"/>
        <v>0</v>
      </c>
      <c r="AL77" s="123">
        <f t="shared" si="131"/>
        <v>5500</v>
      </c>
      <c r="AM77" s="123">
        <f t="shared" si="131"/>
        <v>0</v>
      </c>
      <c r="AN77" s="123">
        <f t="shared" si="131"/>
        <v>0</v>
      </c>
      <c r="AO77" s="104">
        <f t="shared" si="131"/>
        <v>5500</v>
      </c>
      <c r="AP77" s="123">
        <f t="shared" si="131"/>
        <v>0</v>
      </c>
      <c r="AQ77" s="123">
        <f t="shared" si="131"/>
        <v>0</v>
      </c>
      <c r="AR77" s="104">
        <f t="shared" si="131"/>
        <v>18456.5</v>
      </c>
      <c r="AS77" s="123">
        <f t="shared" si="131"/>
        <v>0</v>
      </c>
      <c r="AT77" s="123">
        <f t="shared" si="131"/>
        <v>0</v>
      </c>
      <c r="AU77" s="282" t="s">
        <v>382</v>
      </c>
      <c r="AV77" s="278" t="s">
        <v>383</v>
      </c>
    </row>
    <row r="78" spans="1:48" s="31" customFormat="1" ht="36">
      <c r="A78" s="222"/>
      <c r="B78" s="276"/>
      <c r="C78" s="228"/>
      <c r="D78" s="228"/>
      <c r="E78" s="108" t="s">
        <v>3</v>
      </c>
      <c r="F78" s="123">
        <f>K78+N78+Q78+T78+W78+Z78+AC78+AF78+AI78+AL78+AO78+AR78</f>
        <v>78391.899999999994</v>
      </c>
      <c r="G78" s="123">
        <f t="shared" ref="G78:G84" si="132">K78+N78+Q78+T78+W78+Z78</f>
        <v>29240.400000000001</v>
      </c>
      <c r="H78" s="123">
        <f>L78+O78+R78+U78+X78+AA78+AD78+AG78+AJ78+AM78+AP78+AS78</f>
        <v>25674.500000000004</v>
      </c>
      <c r="I78" s="123">
        <f t="shared" ref="I78:I84" si="133">L78+O78+R78+U78</f>
        <v>15338.2</v>
      </c>
      <c r="J78" s="123">
        <f>H78/F78*100</f>
        <v>32.751470496314042</v>
      </c>
      <c r="K78" s="104">
        <v>0</v>
      </c>
      <c r="L78" s="104">
        <v>0</v>
      </c>
      <c r="M78" s="123">
        <v>0</v>
      </c>
      <c r="N78" s="126">
        <v>5400</v>
      </c>
      <c r="O78" s="104">
        <v>5162.7</v>
      </c>
      <c r="P78" s="123">
        <f t="shared" si="26"/>
        <v>95.605555555555554</v>
      </c>
      <c r="Q78" s="104">
        <v>5400</v>
      </c>
      <c r="R78" s="104">
        <v>5116.7</v>
      </c>
      <c r="S78" s="123">
        <f t="shared" si="27"/>
        <v>94.753703703703692</v>
      </c>
      <c r="T78" s="104">
        <v>5500</v>
      </c>
      <c r="U78" s="104">
        <v>5058.8</v>
      </c>
      <c r="V78" s="123">
        <f t="shared" si="28"/>
        <v>91.978181818181824</v>
      </c>
      <c r="W78" s="105">
        <v>5500</v>
      </c>
      <c r="X78" s="105">
        <v>5050.1000000000004</v>
      </c>
      <c r="Y78" s="123">
        <f t="shared" si="130"/>
        <v>91.820000000000007</v>
      </c>
      <c r="Z78" s="105">
        <v>7440.4</v>
      </c>
      <c r="AA78" s="105">
        <v>5286.2</v>
      </c>
      <c r="AB78" s="105">
        <f>AA78/Z78*100</f>
        <v>71.047255523896567</v>
      </c>
      <c r="AC78" s="105">
        <v>6459</v>
      </c>
      <c r="AD78" s="105">
        <v>0</v>
      </c>
      <c r="AE78" s="105">
        <v>0</v>
      </c>
      <c r="AF78" s="105">
        <v>7736</v>
      </c>
      <c r="AG78" s="105">
        <v>0</v>
      </c>
      <c r="AH78" s="105">
        <v>0</v>
      </c>
      <c r="AI78" s="105">
        <v>5500</v>
      </c>
      <c r="AJ78" s="105">
        <v>0</v>
      </c>
      <c r="AK78" s="105">
        <v>0</v>
      </c>
      <c r="AL78" s="104">
        <v>5500</v>
      </c>
      <c r="AM78" s="104">
        <v>0</v>
      </c>
      <c r="AN78" s="104">
        <v>0</v>
      </c>
      <c r="AO78" s="105">
        <v>5500</v>
      </c>
      <c r="AP78" s="105">
        <v>0</v>
      </c>
      <c r="AQ78" s="105">
        <v>0</v>
      </c>
      <c r="AR78" s="104">
        <v>18456.5</v>
      </c>
      <c r="AS78" s="104"/>
      <c r="AT78" s="104"/>
      <c r="AU78" s="283"/>
      <c r="AV78" s="279"/>
    </row>
    <row r="79" spans="1:48" s="31" customFormat="1" ht="24">
      <c r="A79" s="222"/>
      <c r="B79" s="276"/>
      <c r="C79" s="228"/>
      <c r="D79" s="228"/>
      <c r="E79" s="108" t="s">
        <v>44</v>
      </c>
      <c r="F79" s="123">
        <f t="shared" ref="F79:F80" si="134">K79+N79+Q79+T79+W79+Z79+AC79+AF79+AI79+AL79+AO79+AR79</f>
        <v>0</v>
      </c>
      <c r="G79" s="123">
        <f t="shared" si="132"/>
        <v>0</v>
      </c>
      <c r="H79" s="123">
        <f t="shared" ref="H79:H80" si="135">L79+O79+R79+U79+X79+AA79+AD79+AG79+AJ79+AM79+AP79+AS79</f>
        <v>0</v>
      </c>
      <c r="I79" s="123">
        <f t="shared" si="133"/>
        <v>0</v>
      </c>
      <c r="J79" s="123">
        <v>0</v>
      </c>
      <c r="K79" s="104">
        <v>0</v>
      </c>
      <c r="L79" s="104">
        <v>0</v>
      </c>
      <c r="M79" s="123">
        <v>0</v>
      </c>
      <c r="N79" s="126">
        <v>0</v>
      </c>
      <c r="O79" s="104">
        <v>0</v>
      </c>
      <c r="P79" s="123">
        <v>0</v>
      </c>
      <c r="Q79" s="104">
        <v>0</v>
      </c>
      <c r="R79" s="104">
        <v>0</v>
      </c>
      <c r="S79" s="123">
        <v>0</v>
      </c>
      <c r="T79" s="104">
        <v>0</v>
      </c>
      <c r="U79" s="104">
        <v>0</v>
      </c>
      <c r="V79" s="123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4">
        <v>0</v>
      </c>
      <c r="AM79" s="104">
        <v>0</v>
      </c>
      <c r="AN79" s="104">
        <v>0</v>
      </c>
      <c r="AO79" s="105">
        <v>0</v>
      </c>
      <c r="AP79" s="105">
        <v>0</v>
      </c>
      <c r="AQ79" s="105">
        <v>0</v>
      </c>
      <c r="AR79" s="104">
        <v>0</v>
      </c>
      <c r="AS79" s="104"/>
      <c r="AT79" s="104"/>
      <c r="AU79" s="283"/>
      <c r="AV79" s="279"/>
    </row>
    <row r="80" spans="1:48" s="31" customFormat="1" ht="24">
      <c r="A80" s="222"/>
      <c r="B80" s="276"/>
      <c r="C80" s="229"/>
      <c r="D80" s="229"/>
      <c r="E80" s="109" t="s">
        <v>275</v>
      </c>
      <c r="F80" s="123">
        <f t="shared" si="134"/>
        <v>0</v>
      </c>
      <c r="G80" s="123">
        <f t="shared" si="132"/>
        <v>0</v>
      </c>
      <c r="H80" s="123">
        <f t="shared" si="135"/>
        <v>0</v>
      </c>
      <c r="I80" s="123">
        <f t="shared" si="133"/>
        <v>0</v>
      </c>
      <c r="J80" s="123">
        <v>0</v>
      </c>
      <c r="K80" s="104">
        <v>0</v>
      </c>
      <c r="L80" s="104">
        <v>0</v>
      </c>
      <c r="M80" s="123">
        <v>0</v>
      </c>
      <c r="N80" s="126">
        <v>0</v>
      </c>
      <c r="O80" s="104">
        <v>0</v>
      </c>
      <c r="P80" s="123">
        <v>0</v>
      </c>
      <c r="Q80" s="104">
        <v>0</v>
      </c>
      <c r="R80" s="104">
        <v>0</v>
      </c>
      <c r="S80" s="123">
        <v>0</v>
      </c>
      <c r="T80" s="104">
        <v>0</v>
      </c>
      <c r="U80" s="104">
        <v>0</v>
      </c>
      <c r="V80" s="123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4">
        <v>0</v>
      </c>
      <c r="AM80" s="104">
        <v>0</v>
      </c>
      <c r="AN80" s="104">
        <v>0</v>
      </c>
      <c r="AO80" s="105">
        <v>0</v>
      </c>
      <c r="AP80" s="105">
        <v>0</v>
      </c>
      <c r="AQ80" s="105">
        <v>0</v>
      </c>
      <c r="AR80" s="104">
        <v>0</v>
      </c>
      <c r="AS80" s="104"/>
      <c r="AT80" s="104"/>
      <c r="AU80" s="284"/>
      <c r="AV80" s="280"/>
    </row>
    <row r="81" spans="1:49" s="31" customFormat="1" ht="12.75">
      <c r="A81" s="222" t="s">
        <v>285</v>
      </c>
      <c r="B81" s="223" t="s">
        <v>287</v>
      </c>
      <c r="C81" s="227" t="s">
        <v>315</v>
      </c>
      <c r="D81" s="227" t="s">
        <v>371</v>
      </c>
      <c r="E81" s="107" t="s">
        <v>42</v>
      </c>
      <c r="F81" s="123">
        <f>SUM(F82:F84)</f>
        <v>0</v>
      </c>
      <c r="G81" s="123">
        <f t="shared" si="132"/>
        <v>0</v>
      </c>
      <c r="H81" s="104">
        <f t="shared" ref="H81:R81" si="136">SUM(H82:H84)</f>
        <v>0</v>
      </c>
      <c r="I81" s="123">
        <f t="shared" si="133"/>
        <v>0</v>
      </c>
      <c r="J81" s="104">
        <v>0</v>
      </c>
      <c r="K81" s="104">
        <f t="shared" si="136"/>
        <v>0</v>
      </c>
      <c r="L81" s="104">
        <f t="shared" si="136"/>
        <v>0</v>
      </c>
      <c r="M81" s="123">
        <v>0</v>
      </c>
      <c r="N81" s="104">
        <f t="shared" si="136"/>
        <v>0</v>
      </c>
      <c r="O81" s="104">
        <f t="shared" si="136"/>
        <v>0</v>
      </c>
      <c r="P81" s="123">
        <v>0</v>
      </c>
      <c r="Q81" s="104">
        <f t="shared" si="136"/>
        <v>0</v>
      </c>
      <c r="R81" s="104">
        <f t="shared" si="136"/>
        <v>0</v>
      </c>
      <c r="S81" s="123">
        <v>0</v>
      </c>
      <c r="T81" s="104">
        <f t="shared" ref="T81:AD81" si="137">SUM(T82:T84)</f>
        <v>0</v>
      </c>
      <c r="U81" s="104">
        <f t="shared" si="137"/>
        <v>0</v>
      </c>
      <c r="V81" s="123">
        <v>0</v>
      </c>
      <c r="W81" s="104">
        <f t="shared" si="137"/>
        <v>0</v>
      </c>
      <c r="X81" s="104">
        <f t="shared" si="137"/>
        <v>0</v>
      </c>
      <c r="Y81" s="104">
        <v>0</v>
      </c>
      <c r="Z81" s="104">
        <f t="shared" si="137"/>
        <v>0</v>
      </c>
      <c r="AA81" s="104">
        <f t="shared" si="137"/>
        <v>0</v>
      </c>
      <c r="AB81" s="104">
        <f t="shared" si="137"/>
        <v>0</v>
      </c>
      <c r="AC81" s="104">
        <f t="shared" si="137"/>
        <v>0</v>
      </c>
      <c r="AD81" s="104">
        <f t="shared" si="137"/>
        <v>0</v>
      </c>
      <c r="AE81" s="104">
        <f>SUM(AE82:AE84)</f>
        <v>0</v>
      </c>
      <c r="AF81" s="104">
        <f t="shared" ref="AF81:AT81" si="138">SUM(AF82:AF84)</f>
        <v>0</v>
      </c>
      <c r="AG81" s="104">
        <f t="shared" si="138"/>
        <v>0</v>
      </c>
      <c r="AH81" s="104">
        <f t="shared" si="138"/>
        <v>0</v>
      </c>
      <c r="AI81" s="104">
        <f t="shared" si="138"/>
        <v>0</v>
      </c>
      <c r="AJ81" s="104">
        <f t="shared" si="138"/>
        <v>0</v>
      </c>
      <c r="AK81" s="104">
        <f t="shared" si="138"/>
        <v>0</v>
      </c>
      <c r="AL81" s="104">
        <f t="shared" si="138"/>
        <v>0</v>
      </c>
      <c r="AM81" s="104">
        <f t="shared" si="138"/>
        <v>0</v>
      </c>
      <c r="AN81" s="104">
        <f t="shared" si="138"/>
        <v>0</v>
      </c>
      <c r="AO81" s="104">
        <f t="shared" si="138"/>
        <v>0</v>
      </c>
      <c r="AP81" s="104">
        <f t="shared" si="138"/>
        <v>0</v>
      </c>
      <c r="AQ81" s="104">
        <f t="shared" si="138"/>
        <v>0</v>
      </c>
      <c r="AR81" s="104">
        <f t="shared" si="138"/>
        <v>0</v>
      </c>
      <c r="AS81" s="104">
        <f t="shared" si="138"/>
        <v>0</v>
      </c>
      <c r="AT81" s="104">
        <f t="shared" si="138"/>
        <v>0</v>
      </c>
      <c r="AU81" s="240"/>
      <c r="AV81" s="251"/>
    </row>
    <row r="82" spans="1:49" s="31" customFormat="1" ht="36">
      <c r="A82" s="222"/>
      <c r="B82" s="223"/>
      <c r="C82" s="228"/>
      <c r="D82" s="228"/>
      <c r="E82" s="108" t="s">
        <v>3</v>
      </c>
      <c r="F82" s="123">
        <f>K82+N82+Q82+T82+W82+Z82+AC82+AF82+AI82+AL82+AO82+AR82</f>
        <v>0</v>
      </c>
      <c r="G82" s="123">
        <f t="shared" si="132"/>
        <v>0</v>
      </c>
      <c r="H82" s="123">
        <f>L82+O82+R82+U82+X82+AA82+AD82+AG82+AJ82+AM82+AP82+AS82</f>
        <v>0</v>
      </c>
      <c r="I82" s="123">
        <f t="shared" si="133"/>
        <v>0</v>
      </c>
      <c r="J82" s="104">
        <v>0</v>
      </c>
      <c r="K82" s="104">
        <v>0</v>
      </c>
      <c r="L82" s="104">
        <v>0</v>
      </c>
      <c r="M82" s="123">
        <v>0</v>
      </c>
      <c r="N82" s="126">
        <v>0</v>
      </c>
      <c r="O82" s="104">
        <v>0</v>
      </c>
      <c r="P82" s="123">
        <v>0</v>
      </c>
      <c r="Q82" s="104">
        <v>0</v>
      </c>
      <c r="R82" s="104">
        <v>0</v>
      </c>
      <c r="S82" s="123">
        <v>0</v>
      </c>
      <c r="T82" s="104">
        <v>0</v>
      </c>
      <c r="U82" s="104">
        <v>0</v>
      </c>
      <c r="V82" s="123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4">
        <v>0</v>
      </c>
      <c r="AM82" s="104">
        <v>0</v>
      </c>
      <c r="AN82" s="104">
        <v>0</v>
      </c>
      <c r="AO82" s="105">
        <v>0</v>
      </c>
      <c r="AP82" s="105">
        <v>0</v>
      </c>
      <c r="AQ82" s="105">
        <v>0</v>
      </c>
      <c r="AR82" s="104">
        <v>0</v>
      </c>
      <c r="AS82" s="104"/>
      <c r="AT82" s="104"/>
      <c r="AU82" s="241"/>
      <c r="AV82" s="252"/>
    </row>
    <row r="83" spans="1:49" s="31" customFormat="1" ht="24">
      <c r="A83" s="222"/>
      <c r="B83" s="223"/>
      <c r="C83" s="228"/>
      <c r="D83" s="228"/>
      <c r="E83" s="108" t="s">
        <v>44</v>
      </c>
      <c r="F83" s="123">
        <f t="shared" ref="F83:F84" si="139">K83+N83+Q83+T83+W83+Z83+AC83+AF83+AI83+AL83+AO83+AR83</f>
        <v>0</v>
      </c>
      <c r="G83" s="123">
        <f t="shared" si="132"/>
        <v>0</v>
      </c>
      <c r="H83" s="123">
        <f t="shared" ref="H83:H84" si="140">L83+O83+R83+U83+X83+AA83+AD83+AG83+AJ83+AM83+AP83+AS83</f>
        <v>0</v>
      </c>
      <c r="I83" s="123">
        <f t="shared" si="133"/>
        <v>0</v>
      </c>
      <c r="J83" s="104">
        <v>0</v>
      </c>
      <c r="K83" s="104">
        <v>0</v>
      </c>
      <c r="L83" s="104">
        <v>0</v>
      </c>
      <c r="M83" s="123">
        <v>0</v>
      </c>
      <c r="N83" s="126">
        <v>0</v>
      </c>
      <c r="O83" s="104">
        <v>0</v>
      </c>
      <c r="P83" s="123">
        <v>0</v>
      </c>
      <c r="Q83" s="104">
        <v>0</v>
      </c>
      <c r="R83" s="104">
        <v>0</v>
      </c>
      <c r="S83" s="123">
        <v>0</v>
      </c>
      <c r="T83" s="104">
        <v>0</v>
      </c>
      <c r="U83" s="104">
        <v>0</v>
      </c>
      <c r="V83" s="123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4">
        <v>0</v>
      </c>
      <c r="AM83" s="104">
        <v>0</v>
      </c>
      <c r="AN83" s="104">
        <v>0</v>
      </c>
      <c r="AO83" s="105">
        <v>0</v>
      </c>
      <c r="AP83" s="105">
        <v>0</v>
      </c>
      <c r="AQ83" s="105">
        <v>0</v>
      </c>
      <c r="AR83" s="104">
        <v>0</v>
      </c>
      <c r="AS83" s="104"/>
      <c r="AT83" s="104"/>
      <c r="AU83" s="241"/>
      <c r="AV83" s="252"/>
    </row>
    <row r="84" spans="1:49" s="31" customFormat="1" ht="24">
      <c r="A84" s="222"/>
      <c r="B84" s="223"/>
      <c r="C84" s="229"/>
      <c r="D84" s="229"/>
      <c r="E84" s="109" t="s">
        <v>275</v>
      </c>
      <c r="F84" s="123">
        <f t="shared" si="139"/>
        <v>0</v>
      </c>
      <c r="G84" s="123">
        <f t="shared" si="132"/>
        <v>0</v>
      </c>
      <c r="H84" s="123">
        <f t="shared" si="140"/>
        <v>0</v>
      </c>
      <c r="I84" s="123">
        <f t="shared" si="133"/>
        <v>0</v>
      </c>
      <c r="J84" s="104">
        <v>0</v>
      </c>
      <c r="K84" s="104">
        <v>0</v>
      </c>
      <c r="L84" s="104">
        <v>0</v>
      </c>
      <c r="M84" s="123">
        <v>0</v>
      </c>
      <c r="N84" s="126">
        <v>0</v>
      </c>
      <c r="O84" s="104">
        <v>0</v>
      </c>
      <c r="P84" s="123">
        <v>0</v>
      </c>
      <c r="Q84" s="104">
        <v>0</v>
      </c>
      <c r="R84" s="104">
        <v>0</v>
      </c>
      <c r="S84" s="123">
        <v>0</v>
      </c>
      <c r="T84" s="104">
        <v>0</v>
      </c>
      <c r="U84" s="104">
        <v>0</v>
      </c>
      <c r="V84" s="123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4">
        <v>0</v>
      </c>
      <c r="AM84" s="104">
        <v>0</v>
      </c>
      <c r="AN84" s="104">
        <v>0</v>
      </c>
      <c r="AO84" s="105">
        <v>0</v>
      </c>
      <c r="AP84" s="105">
        <v>0</v>
      </c>
      <c r="AQ84" s="105">
        <v>0</v>
      </c>
      <c r="AR84" s="104">
        <v>0</v>
      </c>
      <c r="AS84" s="104"/>
      <c r="AT84" s="104"/>
      <c r="AU84" s="242"/>
      <c r="AV84" s="253"/>
    </row>
    <row r="85" spans="1:49" s="100" customFormat="1" ht="15" customHeight="1">
      <c r="A85" s="303" t="s">
        <v>318</v>
      </c>
      <c r="B85" s="304"/>
      <c r="C85" s="304"/>
      <c r="D85" s="305"/>
      <c r="E85" s="129" t="s">
        <v>42</v>
      </c>
      <c r="F85" s="106">
        <f>F86+F87+F88</f>
        <v>32392.399999999998</v>
      </c>
      <c r="G85" s="106"/>
      <c r="H85" s="106">
        <f t="shared" ref="H85:AT85" si="141">H86+H87+H88</f>
        <v>11686.5</v>
      </c>
      <c r="I85" s="106"/>
      <c r="J85" s="106">
        <f>H85/F85*100</f>
        <v>36.077907163408703</v>
      </c>
      <c r="K85" s="106">
        <f t="shared" si="141"/>
        <v>822.5</v>
      </c>
      <c r="L85" s="106">
        <f t="shared" si="141"/>
        <v>760.6</v>
      </c>
      <c r="M85" s="106">
        <f>L85/K85*100</f>
        <v>92.474164133738597</v>
      </c>
      <c r="N85" s="106">
        <f t="shared" si="141"/>
        <v>2716.6</v>
      </c>
      <c r="O85" s="106">
        <f t="shared" si="141"/>
        <v>2220.5</v>
      </c>
      <c r="P85" s="106">
        <f>O85/N85*100</f>
        <v>81.738202164470295</v>
      </c>
      <c r="Q85" s="106">
        <f t="shared" si="141"/>
        <v>658.19999999999993</v>
      </c>
      <c r="R85" s="106">
        <f t="shared" si="141"/>
        <v>989.6</v>
      </c>
      <c r="S85" s="106">
        <f>R85/Q85*100</f>
        <v>150.34943786083258</v>
      </c>
      <c r="T85" s="106">
        <f t="shared" si="141"/>
        <v>3286.7</v>
      </c>
      <c r="U85" s="106">
        <f t="shared" si="141"/>
        <v>3149.1000000000004</v>
      </c>
      <c r="V85" s="106">
        <f>U85/T85*100</f>
        <v>95.813429884078275</v>
      </c>
      <c r="W85" s="106">
        <f t="shared" si="141"/>
        <v>2339.5</v>
      </c>
      <c r="X85" s="106">
        <f t="shared" si="141"/>
        <v>2386.9</v>
      </c>
      <c r="Y85" s="106">
        <f t="shared" si="141"/>
        <v>202.25918688337066</v>
      </c>
      <c r="Z85" s="106">
        <f t="shared" si="141"/>
        <v>2235.3000000000002</v>
      </c>
      <c r="AA85" s="106">
        <f t="shared" si="141"/>
        <v>2179.8000000000002</v>
      </c>
      <c r="AB85" s="106">
        <f t="shared" si="141"/>
        <v>197.20445272754748</v>
      </c>
      <c r="AC85" s="106">
        <f t="shared" si="141"/>
        <v>3754.2999999999997</v>
      </c>
      <c r="AD85" s="106">
        <f t="shared" si="141"/>
        <v>0</v>
      </c>
      <c r="AE85" s="106">
        <f t="shared" si="141"/>
        <v>0</v>
      </c>
      <c r="AF85" s="106">
        <f t="shared" si="141"/>
        <v>2561.1999999999998</v>
      </c>
      <c r="AG85" s="106">
        <f t="shared" si="141"/>
        <v>0</v>
      </c>
      <c r="AH85" s="106">
        <f t="shared" si="141"/>
        <v>0</v>
      </c>
      <c r="AI85" s="106">
        <f t="shared" si="141"/>
        <v>2025.5</v>
      </c>
      <c r="AJ85" s="106">
        <f t="shared" si="141"/>
        <v>0</v>
      </c>
      <c r="AK85" s="106">
        <f t="shared" si="141"/>
        <v>0</v>
      </c>
      <c r="AL85" s="106">
        <f t="shared" si="141"/>
        <v>3372.9</v>
      </c>
      <c r="AM85" s="106">
        <f t="shared" si="141"/>
        <v>0</v>
      </c>
      <c r="AN85" s="106">
        <f t="shared" si="141"/>
        <v>0</v>
      </c>
      <c r="AO85" s="106">
        <f t="shared" si="141"/>
        <v>2222.6999999999998</v>
      </c>
      <c r="AP85" s="106">
        <f t="shared" si="141"/>
        <v>0</v>
      </c>
      <c r="AQ85" s="106">
        <f t="shared" si="141"/>
        <v>0</v>
      </c>
      <c r="AR85" s="106">
        <f t="shared" si="141"/>
        <v>6397</v>
      </c>
      <c r="AS85" s="106">
        <f t="shared" si="141"/>
        <v>0</v>
      </c>
      <c r="AT85" s="106">
        <f t="shared" si="141"/>
        <v>0</v>
      </c>
      <c r="AU85" s="240"/>
      <c r="AV85" s="247"/>
      <c r="AW85" s="127"/>
    </row>
    <row r="86" spans="1:49" s="100" customFormat="1" ht="36">
      <c r="A86" s="306"/>
      <c r="B86" s="307"/>
      <c r="C86" s="307"/>
      <c r="D86" s="308"/>
      <c r="E86" s="111" t="s">
        <v>3</v>
      </c>
      <c r="F86" s="106">
        <f>F97</f>
        <v>14536.3</v>
      </c>
      <c r="G86" s="106"/>
      <c r="H86" s="106">
        <f t="shared" ref="H86:AT88" si="142">H97</f>
        <v>9505.4</v>
      </c>
      <c r="I86" s="106"/>
      <c r="J86" s="106">
        <f t="shared" ref="J86:J87" si="143">H86/F86*100</f>
        <v>65.390780322365387</v>
      </c>
      <c r="K86" s="106">
        <f t="shared" si="142"/>
        <v>471.4</v>
      </c>
      <c r="L86" s="106">
        <f t="shared" si="142"/>
        <v>409.5</v>
      </c>
      <c r="M86" s="106">
        <f t="shared" ref="M86:M87" si="144">L86/K86*100</f>
        <v>86.868901145523978</v>
      </c>
      <c r="N86" s="106">
        <f t="shared" si="142"/>
        <v>2580.6999999999998</v>
      </c>
      <c r="O86" s="106">
        <f t="shared" si="142"/>
        <v>1657.6</v>
      </c>
      <c r="P86" s="106">
        <f t="shared" ref="P86:P87" si="145">O86/N86*100</f>
        <v>64.230635099004147</v>
      </c>
      <c r="Q86" s="106">
        <f t="shared" si="142"/>
        <v>53.799999999999955</v>
      </c>
      <c r="R86" s="106">
        <f t="shared" si="142"/>
        <v>989.6</v>
      </c>
      <c r="S86" s="106">
        <f t="shared" ref="S86:S87" si="146">R86/Q86*100</f>
        <v>1839.405204460968</v>
      </c>
      <c r="T86" s="106">
        <f t="shared" si="142"/>
        <v>2688.4</v>
      </c>
      <c r="U86" s="106">
        <f t="shared" si="142"/>
        <v>2373.4</v>
      </c>
      <c r="V86" s="106">
        <f t="shared" ref="V86:V87" si="147">U86/T86*100</f>
        <v>88.28299360214254</v>
      </c>
      <c r="W86" s="106">
        <f t="shared" si="142"/>
        <v>2098.1</v>
      </c>
      <c r="X86" s="106">
        <f t="shared" si="142"/>
        <v>2145.5</v>
      </c>
      <c r="Y86" s="106">
        <f t="shared" si="142"/>
        <v>102.25918688337067</v>
      </c>
      <c r="Z86" s="106">
        <f t="shared" si="142"/>
        <v>1985.3</v>
      </c>
      <c r="AA86" s="106">
        <f t="shared" si="142"/>
        <v>1929.8</v>
      </c>
      <c r="AB86" s="106">
        <f t="shared" si="142"/>
        <v>97.204452727547476</v>
      </c>
      <c r="AC86" s="106">
        <f t="shared" si="142"/>
        <v>3404.6</v>
      </c>
      <c r="AD86" s="106">
        <f t="shared" si="142"/>
        <v>0</v>
      </c>
      <c r="AE86" s="106">
        <f t="shared" si="142"/>
        <v>0</v>
      </c>
      <c r="AF86" s="106">
        <f t="shared" si="142"/>
        <v>1254</v>
      </c>
      <c r="AG86" s="106">
        <f t="shared" si="142"/>
        <v>0</v>
      </c>
      <c r="AH86" s="106">
        <f t="shared" si="142"/>
        <v>0</v>
      </c>
      <c r="AI86" s="106">
        <f t="shared" si="142"/>
        <v>0</v>
      </c>
      <c r="AJ86" s="106">
        <f t="shared" si="142"/>
        <v>0</v>
      </c>
      <c r="AK86" s="106">
        <f t="shared" si="142"/>
        <v>0</v>
      </c>
      <c r="AL86" s="106">
        <f t="shared" si="142"/>
        <v>0</v>
      </c>
      <c r="AM86" s="106">
        <f t="shared" si="142"/>
        <v>0</v>
      </c>
      <c r="AN86" s="106">
        <f t="shared" si="142"/>
        <v>0</v>
      </c>
      <c r="AO86" s="106">
        <f t="shared" si="142"/>
        <v>0</v>
      </c>
      <c r="AP86" s="106">
        <f t="shared" si="142"/>
        <v>0</v>
      </c>
      <c r="AQ86" s="106">
        <f t="shared" si="142"/>
        <v>0</v>
      </c>
      <c r="AR86" s="106">
        <f t="shared" si="142"/>
        <v>0</v>
      </c>
      <c r="AS86" s="106">
        <f t="shared" si="142"/>
        <v>0</v>
      </c>
      <c r="AT86" s="106">
        <f t="shared" si="142"/>
        <v>0</v>
      </c>
      <c r="AU86" s="241"/>
      <c r="AV86" s="248"/>
      <c r="AW86" s="127"/>
    </row>
    <row r="87" spans="1:49" s="100" customFormat="1" ht="24">
      <c r="A87" s="306"/>
      <c r="B87" s="307"/>
      <c r="C87" s="307"/>
      <c r="D87" s="308"/>
      <c r="E87" s="111" t="s">
        <v>44</v>
      </c>
      <c r="F87" s="106">
        <f>F98</f>
        <v>17856.099999999999</v>
      </c>
      <c r="G87" s="106"/>
      <c r="H87" s="106">
        <f t="shared" si="142"/>
        <v>2181.1000000000004</v>
      </c>
      <c r="I87" s="106"/>
      <c r="J87" s="106">
        <f t="shared" si="143"/>
        <v>12.214873348603561</v>
      </c>
      <c r="K87" s="106">
        <f t="shared" si="142"/>
        <v>351.1</v>
      </c>
      <c r="L87" s="106">
        <f t="shared" si="142"/>
        <v>351.1</v>
      </c>
      <c r="M87" s="106">
        <f t="shared" si="144"/>
        <v>100</v>
      </c>
      <c r="N87" s="106">
        <f t="shared" si="142"/>
        <v>135.9</v>
      </c>
      <c r="O87" s="106">
        <f t="shared" si="142"/>
        <v>562.9</v>
      </c>
      <c r="P87" s="106">
        <f t="shared" si="145"/>
        <v>414.20161883738035</v>
      </c>
      <c r="Q87" s="106">
        <f t="shared" si="142"/>
        <v>604.4</v>
      </c>
      <c r="R87" s="106">
        <f t="shared" si="142"/>
        <v>0</v>
      </c>
      <c r="S87" s="106">
        <f t="shared" si="146"/>
        <v>0</v>
      </c>
      <c r="T87" s="106">
        <f t="shared" si="142"/>
        <v>598.29999999999995</v>
      </c>
      <c r="U87" s="106">
        <f t="shared" si="142"/>
        <v>775.7</v>
      </c>
      <c r="V87" s="106">
        <f t="shared" si="147"/>
        <v>129.65067691793416</v>
      </c>
      <c r="W87" s="106">
        <f t="shared" si="142"/>
        <v>241.4</v>
      </c>
      <c r="X87" s="106">
        <f t="shared" si="142"/>
        <v>241.4</v>
      </c>
      <c r="Y87" s="106">
        <f t="shared" si="142"/>
        <v>100</v>
      </c>
      <c r="Z87" s="106">
        <f t="shared" si="142"/>
        <v>250</v>
      </c>
      <c r="AA87" s="106">
        <f t="shared" si="142"/>
        <v>250</v>
      </c>
      <c r="AB87" s="106">
        <f t="shared" si="142"/>
        <v>100</v>
      </c>
      <c r="AC87" s="106">
        <f t="shared" si="142"/>
        <v>349.7</v>
      </c>
      <c r="AD87" s="106">
        <f t="shared" si="142"/>
        <v>0</v>
      </c>
      <c r="AE87" s="106">
        <f t="shared" si="142"/>
        <v>0</v>
      </c>
      <c r="AF87" s="106">
        <f t="shared" si="142"/>
        <v>1307.1999999999998</v>
      </c>
      <c r="AG87" s="106">
        <f t="shared" si="142"/>
        <v>0</v>
      </c>
      <c r="AH87" s="106">
        <f t="shared" si="142"/>
        <v>0</v>
      </c>
      <c r="AI87" s="106">
        <f t="shared" si="142"/>
        <v>2025.5</v>
      </c>
      <c r="AJ87" s="106">
        <f t="shared" si="142"/>
        <v>0</v>
      </c>
      <c r="AK87" s="106">
        <f t="shared" si="142"/>
        <v>0</v>
      </c>
      <c r="AL87" s="106">
        <f t="shared" si="142"/>
        <v>3372.9</v>
      </c>
      <c r="AM87" s="106">
        <f t="shared" si="142"/>
        <v>0</v>
      </c>
      <c r="AN87" s="106">
        <f t="shared" si="142"/>
        <v>0</v>
      </c>
      <c r="AO87" s="106">
        <f t="shared" si="142"/>
        <v>2222.6999999999998</v>
      </c>
      <c r="AP87" s="106">
        <f t="shared" si="142"/>
        <v>0</v>
      </c>
      <c r="AQ87" s="106">
        <f t="shared" si="142"/>
        <v>0</v>
      </c>
      <c r="AR87" s="106">
        <f t="shared" si="142"/>
        <v>6397</v>
      </c>
      <c r="AS87" s="106">
        <f t="shared" si="142"/>
        <v>0</v>
      </c>
      <c r="AT87" s="106">
        <f t="shared" si="142"/>
        <v>0</v>
      </c>
      <c r="AU87" s="241"/>
      <c r="AV87" s="248"/>
      <c r="AW87" s="127"/>
    </row>
    <row r="88" spans="1:49" s="100" customFormat="1" ht="24">
      <c r="A88" s="309"/>
      <c r="B88" s="310"/>
      <c r="C88" s="310"/>
      <c r="D88" s="311"/>
      <c r="E88" s="110" t="s">
        <v>275</v>
      </c>
      <c r="F88" s="106">
        <f>F99</f>
        <v>0</v>
      </c>
      <c r="G88" s="106"/>
      <c r="H88" s="106">
        <f t="shared" si="142"/>
        <v>0</v>
      </c>
      <c r="I88" s="106"/>
      <c r="J88" s="106">
        <v>0</v>
      </c>
      <c r="K88" s="106">
        <f t="shared" si="142"/>
        <v>0</v>
      </c>
      <c r="L88" s="106">
        <f t="shared" si="142"/>
        <v>0</v>
      </c>
      <c r="M88" s="106">
        <v>0</v>
      </c>
      <c r="N88" s="106">
        <f t="shared" si="142"/>
        <v>0</v>
      </c>
      <c r="O88" s="106">
        <f t="shared" si="142"/>
        <v>0</v>
      </c>
      <c r="P88" s="106">
        <v>0</v>
      </c>
      <c r="Q88" s="106">
        <f t="shared" si="142"/>
        <v>0</v>
      </c>
      <c r="R88" s="106">
        <f t="shared" si="142"/>
        <v>0</v>
      </c>
      <c r="S88" s="106">
        <f t="shared" si="142"/>
        <v>0</v>
      </c>
      <c r="T88" s="106">
        <f t="shared" si="142"/>
        <v>0</v>
      </c>
      <c r="U88" s="106">
        <f t="shared" si="142"/>
        <v>0</v>
      </c>
      <c r="V88" s="106">
        <v>0</v>
      </c>
      <c r="W88" s="106">
        <f t="shared" si="142"/>
        <v>0</v>
      </c>
      <c r="X88" s="106">
        <f t="shared" si="142"/>
        <v>0</v>
      </c>
      <c r="Y88" s="106">
        <f t="shared" si="142"/>
        <v>0</v>
      </c>
      <c r="Z88" s="106">
        <f t="shared" si="142"/>
        <v>0</v>
      </c>
      <c r="AA88" s="106">
        <f t="shared" si="142"/>
        <v>0</v>
      </c>
      <c r="AB88" s="106">
        <f t="shared" si="142"/>
        <v>0</v>
      </c>
      <c r="AC88" s="106">
        <f t="shared" si="142"/>
        <v>0</v>
      </c>
      <c r="AD88" s="106">
        <f t="shared" si="142"/>
        <v>0</v>
      </c>
      <c r="AE88" s="106">
        <f t="shared" si="142"/>
        <v>0</v>
      </c>
      <c r="AF88" s="106">
        <f t="shared" si="142"/>
        <v>0</v>
      </c>
      <c r="AG88" s="106">
        <f t="shared" si="142"/>
        <v>0</v>
      </c>
      <c r="AH88" s="106">
        <f t="shared" si="142"/>
        <v>0</v>
      </c>
      <c r="AI88" s="106">
        <f t="shared" si="142"/>
        <v>0</v>
      </c>
      <c r="AJ88" s="106">
        <f t="shared" si="142"/>
        <v>0</v>
      </c>
      <c r="AK88" s="106">
        <f t="shared" si="142"/>
        <v>0</v>
      </c>
      <c r="AL88" s="106">
        <f t="shared" si="142"/>
        <v>0</v>
      </c>
      <c r="AM88" s="106">
        <f t="shared" si="142"/>
        <v>0</v>
      </c>
      <c r="AN88" s="106">
        <f t="shared" si="142"/>
        <v>0</v>
      </c>
      <c r="AO88" s="106">
        <f t="shared" si="142"/>
        <v>0</v>
      </c>
      <c r="AP88" s="106">
        <f t="shared" si="142"/>
        <v>0</v>
      </c>
      <c r="AQ88" s="106">
        <f t="shared" si="142"/>
        <v>0</v>
      </c>
      <c r="AR88" s="106">
        <f t="shared" si="142"/>
        <v>0</v>
      </c>
      <c r="AS88" s="106">
        <f t="shared" si="142"/>
        <v>0</v>
      </c>
      <c r="AT88" s="106">
        <f t="shared" si="142"/>
        <v>0</v>
      </c>
      <c r="AU88" s="242"/>
      <c r="AV88" s="249"/>
      <c r="AW88" s="127"/>
    </row>
    <row r="89" spans="1:49" s="100" customFormat="1" ht="108">
      <c r="A89" s="142" t="s">
        <v>328</v>
      </c>
      <c r="B89" s="161" t="s">
        <v>370</v>
      </c>
      <c r="C89" s="151" t="s">
        <v>331</v>
      </c>
      <c r="D89" s="166" t="s">
        <v>371</v>
      </c>
      <c r="E89" s="168" t="s">
        <v>330</v>
      </c>
      <c r="F89" s="178" t="s">
        <v>350</v>
      </c>
      <c r="G89" s="178" t="s">
        <v>350</v>
      </c>
      <c r="H89" s="178" t="s">
        <v>350</v>
      </c>
      <c r="I89" s="178" t="s">
        <v>350</v>
      </c>
      <c r="J89" s="178" t="s">
        <v>350</v>
      </c>
      <c r="K89" s="178" t="s">
        <v>350</v>
      </c>
      <c r="L89" s="178" t="s">
        <v>350</v>
      </c>
      <c r="M89" s="178" t="s">
        <v>350</v>
      </c>
      <c r="N89" s="178" t="s">
        <v>350</v>
      </c>
      <c r="O89" s="178" t="s">
        <v>350</v>
      </c>
      <c r="P89" s="178" t="s">
        <v>350</v>
      </c>
      <c r="Q89" s="178" t="s">
        <v>350</v>
      </c>
      <c r="R89" s="178" t="s">
        <v>350</v>
      </c>
      <c r="S89" s="178" t="s">
        <v>350</v>
      </c>
      <c r="T89" s="178" t="s">
        <v>350</v>
      </c>
      <c r="U89" s="178" t="s">
        <v>350</v>
      </c>
      <c r="V89" s="178" t="s">
        <v>350</v>
      </c>
      <c r="W89" s="178" t="s">
        <v>350</v>
      </c>
      <c r="X89" s="178" t="s">
        <v>350</v>
      </c>
      <c r="Y89" s="178" t="s">
        <v>350</v>
      </c>
      <c r="Z89" s="178" t="s">
        <v>350</v>
      </c>
      <c r="AA89" s="178" t="s">
        <v>350</v>
      </c>
      <c r="AB89" s="178" t="s">
        <v>350</v>
      </c>
      <c r="AC89" s="178" t="s">
        <v>350</v>
      </c>
      <c r="AD89" s="178" t="s">
        <v>350</v>
      </c>
      <c r="AE89" s="178" t="s">
        <v>350</v>
      </c>
      <c r="AF89" s="178" t="s">
        <v>350</v>
      </c>
      <c r="AG89" s="178" t="s">
        <v>350</v>
      </c>
      <c r="AH89" s="178" t="s">
        <v>350</v>
      </c>
      <c r="AI89" s="178" t="s">
        <v>350</v>
      </c>
      <c r="AJ89" s="178" t="s">
        <v>350</v>
      </c>
      <c r="AK89" s="178" t="s">
        <v>350</v>
      </c>
      <c r="AL89" s="178" t="s">
        <v>350</v>
      </c>
      <c r="AM89" s="178" t="s">
        <v>350</v>
      </c>
      <c r="AN89" s="178" t="s">
        <v>350</v>
      </c>
      <c r="AO89" s="178" t="s">
        <v>350</v>
      </c>
      <c r="AP89" s="178" t="s">
        <v>350</v>
      </c>
      <c r="AQ89" s="178" t="s">
        <v>350</v>
      </c>
      <c r="AR89" s="178" t="s">
        <v>350</v>
      </c>
      <c r="AS89" s="106"/>
      <c r="AT89" s="106"/>
      <c r="AU89" s="165" t="s">
        <v>362</v>
      </c>
      <c r="AV89" s="137"/>
      <c r="AW89" s="127"/>
    </row>
    <row r="90" spans="1:49" s="100" customFormat="1" ht="204">
      <c r="A90" s="135" t="s">
        <v>259</v>
      </c>
      <c r="B90" s="162" t="s">
        <v>369</v>
      </c>
      <c r="C90" s="149" t="s">
        <v>332</v>
      </c>
      <c r="D90" s="166" t="s">
        <v>371</v>
      </c>
      <c r="E90" s="168" t="s">
        <v>330</v>
      </c>
      <c r="F90" s="178" t="s">
        <v>350</v>
      </c>
      <c r="G90" s="178" t="s">
        <v>350</v>
      </c>
      <c r="H90" s="178" t="s">
        <v>350</v>
      </c>
      <c r="I90" s="178" t="s">
        <v>350</v>
      </c>
      <c r="J90" s="178" t="s">
        <v>350</v>
      </c>
      <c r="K90" s="178" t="s">
        <v>350</v>
      </c>
      <c r="L90" s="178" t="s">
        <v>350</v>
      </c>
      <c r="M90" s="178" t="s">
        <v>350</v>
      </c>
      <c r="N90" s="178" t="s">
        <v>350</v>
      </c>
      <c r="O90" s="178" t="s">
        <v>350</v>
      </c>
      <c r="P90" s="178" t="s">
        <v>350</v>
      </c>
      <c r="Q90" s="178" t="s">
        <v>350</v>
      </c>
      <c r="R90" s="178" t="s">
        <v>350</v>
      </c>
      <c r="S90" s="178" t="s">
        <v>350</v>
      </c>
      <c r="T90" s="178" t="s">
        <v>350</v>
      </c>
      <c r="U90" s="178" t="s">
        <v>350</v>
      </c>
      <c r="V90" s="178" t="s">
        <v>350</v>
      </c>
      <c r="W90" s="178" t="s">
        <v>350</v>
      </c>
      <c r="X90" s="178" t="s">
        <v>350</v>
      </c>
      <c r="Y90" s="178" t="s">
        <v>350</v>
      </c>
      <c r="Z90" s="178" t="s">
        <v>350</v>
      </c>
      <c r="AA90" s="178" t="s">
        <v>350</v>
      </c>
      <c r="AB90" s="178" t="s">
        <v>350</v>
      </c>
      <c r="AC90" s="178" t="s">
        <v>350</v>
      </c>
      <c r="AD90" s="178" t="s">
        <v>350</v>
      </c>
      <c r="AE90" s="178" t="s">
        <v>350</v>
      </c>
      <c r="AF90" s="178" t="s">
        <v>350</v>
      </c>
      <c r="AG90" s="178" t="s">
        <v>350</v>
      </c>
      <c r="AH90" s="178" t="s">
        <v>350</v>
      </c>
      <c r="AI90" s="178" t="s">
        <v>350</v>
      </c>
      <c r="AJ90" s="178" t="s">
        <v>350</v>
      </c>
      <c r="AK90" s="178" t="s">
        <v>350</v>
      </c>
      <c r="AL90" s="178" t="s">
        <v>350</v>
      </c>
      <c r="AM90" s="178" t="s">
        <v>350</v>
      </c>
      <c r="AN90" s="178" t="s">
        <v>350</v>
      </c>
      <c r="AO90" s="178" t="s">
        <v>350</v>
      </c>
      <c r="AP90" s="178" t="s">
        <v>350</v>
      </c>
      <c r="AQ90" s="178" t="s">
        <v>350</v>
      </c>
      <c r="AR90" s="178" t="s">
        <v>350</v>
      </c>
      <c r="AS90" s="106"/>
      <c r="AT90" s="106"/>
      <c r="AU90" s="165" t="s">
        <v>363</v>
      </c>
      <c r="AV90" s="137"/>
      <c r="AW90" s="127"/>
    </row>
    <row r="91" spans="1:49" s="100" customFormat="1" ht="132">
      <c r="A91" s="142" t="s">
        <v>329</v>
      </c>
      <c r="B91" s="162" t="s">
        <v>364</v>
      </c>
      <c r="C91" s="149" t="s">
        <v>331</v>
      </c>
      <c r="D91" s="166" t="s">
        <v>371</v>
      </c>
      <c r="E91" s="168" t="s">
        <v>330</v>
      </c>
      <c r="F91" s="178" t="s">
        <v>350</v>
      </c>
      <c r="G91" s="178" t="s">
        <v>350</v>
      </c>
      <c r="H91" s="178" t="s">
        <v>350</v>
      </c>
      <c r="I91" s="178" t="s">
        <v>350</v>
      </c>
      <c r="J91" s="178" t="s">
        <v>350</v>
      </c>
      <c r="K91" s="178" t="s">
        <v>350</v>
      </c>
      <c r="L91" s="178" t="s">
        <v>350</v>
      </c>
      <c r="M91" s="178" t="s">
        <v>350</v>
      </c>
      <c r="N91" s="178" t="s">
        <v>350</v>
      </c>
      <c r="O91" s="178" t="s">
        <v>350</v>
      </c>
      <c r="P91" s="178" t="s">
        <v>350</v>
      </c>
      <c r="Q91" s="178" t="s">
        <v>350</v>
      </c>
      <c r="R91" s="178" t="s">
        <v>350</v>
      </c>
      <c r="S91" s="178" t="s">
        <v>350</v>
      </c>
      <c r="T91" s="178" t="s">
        <v>350</v>
      </c>
      <c r="U91" s="178" t="s">
        <v>350</v>
      </c>
      <c r="V91" s="178" t="s">
        <v>350</v>
      </c>
      <c r="W91" s="178" t="s">
        <v>350</v>
      </c>
      <c r="X91" s="178" t="s">
        <v>350</v>
      </c>
      <c r="Y91" s="178" t="s">
        <v>350</v>
      </c>
      <c r="Z91" s="178" t="s">
        <v>350</v>
      </c>
      <c r="AA91" s="178" t="s">
        <v>350</v>
      </c>
      <c r="AB91" s="178" t="s">
        <v>350</v>
      </c>
      <c r="AC91" s="178" t="s">
        <v>350</v>
      </c>
      <c r="AD91" s="178" t="s">
        <v>350</v>
      </c>
      <c r="AE91" s="178" t="s">
        <v>350</v>
      </c>
      <c r="AF91" s="178" t="s">
        <v>350</v>
      </c>
      <c r="AG91" s="178" t="s">
        <v>350</v>
      </c>
      <c r="AH91" s="178" t="s">
        <v>350</v>
      </c>
      <c r="AI91" s="178" t="s">
        <v>350</v>
      </c>
      <c r="AJ91" s="178" t="s">
        <v>350</v>
      </c>
      <c r="AK91" s="178" t="s">
        <v>350</v>
      </c>
      <c r="AL91" s="178" t="s">
        <v>350</v>
      </c>
      <c r="AM91" s="178" t="s">
        <v>350</v>
      </c>
      <c r="AN91" s="178" t="s">
        <v>350</v>
      </c>
      <c r="AO91" s="178" t="s">
        <v>350</v>
      </c>
      <c r="AP91" s="178" t="s">
        <v>350</v>
      </c>
      <c r="AQ91" s="178" t="s">
        <v>350</v>
      </c>
      <c r="AR91" s="178" t="s">
        <v>350</v>
      </c>
      <c r="AS91" s="106"/>
      <c r="AT91" s="106"/>
      <c r="AU91" s="165" t="s">
        <v>358</v>
      </c>
      <c r="AV91" s="137"/>
      <c r="AW91" s="127"/>
    </row>
    <row r="92" spans="1:49" s="100" customFormat="1" ht="132">
      <c r="A92" s="142" t="s">
        <v>261</v>
      </c>
      <c r="B92" s="162" t="s">
        <v>365</v>
      </c>
      <c r="C92" s="149" t="s">
        <v>332</v>
      </c>
      <c r="D92" s="166" t="s">
        <v>371</v>
      </c>
      <c r="E92" s="168" t="s">
        <v>330</v>
      </c>
      <c r="F92" s="178" t="s">
        <v>350</v>
      </c>
      <c r="G92" s="178" t="s">
        <v>350</v>
      </c>
      <c r="H92" s="178" t="s">
        <v>350</v>
      </c>
      <c r="I92" s="178" t="s">
        <v>350</v>
      </c>
      <c r="J92" s="178" t="s">
        <v>350</v>
      </c>
      <c r="K92" s="178" t="s">
        <v>350</v>
      </c>
      <c r="L92" s="178" t="s">
        <v>350</v>
      </c>
      <c r="M92" s="178" t="s">
        <v>350</v>
      </c>
      <c r="N92" s="178" t="s">
        <v>350</v>
      </c>
      <c r="O92" s="178" t="s">
        <v>350</v>
      </c>
      <c r="P92" s="178" t="s">
        <v>350</v>
      </c>
      <c r="Q92" s="178" t="s">
        <v>350</v>
      </c>
      <c r="R92" s="178" t="s">
        <v>350</v>
      </c>
      <c r="S92" s="178" t="s">
        <v>350</v>
      </c>
      <c r="T92" s="178" t="s">
        <v>350</v>
      </c>
      <c r="U92" s="178" t="s">
        <v>350</v>
      </c>
      <c r="V92" s="178" t="s">
        <v>350</v>
      </c>
      <c r="W92" s="178" t="s">
        <v>350</v>
      </c>
      <c r="X92" s="178" t="s">
        <v>350</v>
      </c>
      <c r="Y92" s="178" t="s">
        <v>350</v>
      </c>
      <c r="Z92" s="178" t="s">
        <v>350</v>
      </c>
      <c r="AA92" s="178" t="s">
        <v>350</v>
      </c>
      <c r="AB92" s="178" t="s">
        <v>350</v>
      </c>
      <c r="AC92" s="178" t="s">
        <v>350</v>
      </c>
      <c r="AD92" s="178" t="s">
        <v>350</v>
      </c>
      <c r="AE92" s="178" t="s">
        <v>350</v>
      </c>
      <c r="AF92" s="178" t="s">
        <v>350</v>
      </c>
      <c r="AG92" s="178" t="s">
        <v>350</v>
      </c>
      <c r="AH92" s="178" t="s">
        <v>350</v>
      </c>
      <c r="AI92" s="178" t="s">
        <v>350</v>
      </c>
      <c r="AJ92" s="178" t="s">
        <v>350</v>
      </c>
      <c r="AK92" s="178" t="s">
        <v>350</v>
      </c>
      <c r="AL92" s="178" t="s">
        <v>350</v>
      </c>
      <c r="AM92" s="178" t="s">
        <v>350</v>
      </c>
      <c r="AN92" s="178" t="s">
        <v>350</v>
      </c>
      <c r="AO92" s="178" t="s">
        <v>350</v>
      </c>
      <c r="AP92" s="178" t="s">
        <v>350</v>
      </c>
      <c r="AQ92" s="178" t="s">
        <v>350</v>
      </c>
      <c r="AR92" s="178" t="s">
        <v>350</v>
      </c>
      <c r="AS92" s="106"/>
      <c r="AT92" s="106"/>
      <c r="AU92" s="165" t="s">
        <v>359</v>
      </c>
      <c r="AV92" s="137"/>
      <c r="AW92" s="127"/>
    </row>
    <row r="93" spans="1:49" s="100" customFormat="1" ht="48">
      <c r="A93" s="142" t="s">
        <v>273</v>
      </c>
      <c r="B93" s="162" t="s">
        <v>366</v>
      </c>
      <c r="C93" s="149" t="s">
        <v>333</v>
      </c>
      <c r="D93" s="166" t="s">
        <v>371</v>
      </c>
      <c r="E93" s="168" t="s">
        <v>330</v>
      </c>
      <c r="F93" s="178" t="s">
        <v>350</v>
      </c>
      <c r="G93" s="178" t="s">
        <v>350</v>
      </c>
      <c r="H93" s="178" t="s">
        <v>350</v>
      </c>
      <c r="I93" s="178" t="s">
        <v>350</v>
      </c>
      <c r="J93" s="178" t="s">
        <v>350</v>
      </c>
      <c r="K93" s="178" t="s">
        <v>350</v>
      </c>
      <c r="L93" s="178" t="s">
        <v>350</v>
      </c>
      <c r="M93" s="178" t="s">
        <v>350</v>
      </c>
      <c r="N93" s="178" t="s">
        <v>350</v>
      </c>
      <c r="O93" s="178" t="s">
        <v>350</v>
      </c>
      <c r="P93" s="178" t="s">
        <v>350</v>
      </c>
      <c r="Q93" s="178" t="s">
        <v>350</v>
      </c>
      <c r="R93" s="178" t="s">
        <v>350</v>
      </c>
      <c r="S93" s="178" t="s">
        <v>350</v>
      </c>
      <c r="T93" s="178" t="s">
        <v>350</v>
      </c>
      <c r="U93" s="178" t="s">
        <v>350</v>
      </c>
      <c r="V93" s="178" t="s">
        <v>350</v>
      </c>
      <c r="W93" s="178" t="s">
        <v>350</v>
      </c>
      <c r="X93" s="178" t="s">
        <v>350</v>
      </c>
      <c r="Y93" s="178" t="s">
        <v>350</v>
      </c>
      <c r="Z93" s="178" t="s">
        <v>350</v>
      </c>
      <c r="AA93" s="178" t="s">
        <v>350</v>
      </c>
      <c r="AB93" s="178" t="s">
        <v>350</v>
      </c>
      <c r="AC93" s="178" t="s">
        <v>350</v>
      </c>
      <c r="AD93" s="178" t="s">
        <v>350</v>
      </c>
      <c r="AE93" s="178" t="s">
        <v>350</v>
      </c>
      <c r="AF93" s="178" t="s">
        <v>350</v>
      </c>
      <c r="AG93" s="178" t="s">
        <v>350</v>
      </c>
      <c r="AH93" s="178" t="s">
        <v>350</v>
      </c>
      <c r="AI93" s="178" t="s">
        <v>350</v>
      </c>
      <c r="AJ93" s="178" t="s">
        <v>350</v>
      </c>
      <c r="AK93" s="178" t="s">
        <v>350</v>
      </c>
      <c r="AL93" s="178" t="s">
        <v>350</v>
      </c>
      <c r="AM93" s="178" t="s">
        <v>350</v>
      </c>
      <c r="AN93" s="178" t="s">
        <v>350</v>
      </c>
      <c r="AO93" s="178" t="s">
        <v>350</v>
      </c>
      <c r="AP93" s="178" t="s">
        <v>350</v>
      </c>
      <c r="AQ93" s="178" t="s">
        <v>350</v>
      </c>
      <c r="AR93" s="178" t="s">
        <v>350</v>
      </c>
      <c r="AS93" s="106"/>
      <c r="AT93" s="106"/>
      <c r="AU93" s="165" t="s">
        <v>360</v>
      </c>
      <c r="AV93" s="137"/>
      <c r="AW93" s="127"/>
    </row>
    <row r="94" spans="1:49" s="100" customFormat="1" ht="375" customHeight="1">
      <c r="A94" s="142" t="s">
        <v>274</v>
      </c>
      <c r="B94" s="162" t="s">
        <v>367</v>
      </c>
      <c r="C94" s="149" t="s">
        <v>331</v>
      </c>
      <c r="D94" s="166">
        <v>3</v>
      </c>
      <c r="E94" s="168" t="s">
        <v>330</v>
      </c>
      <c r="F94" s="178" t="s">
        <v>350</v>
      </c>
      <c r="G94" s="178" t="s">
        <v>350</v>
      </c>
      <c r="H94" s="178" t="s">
        <v>350</v>
      </c>
      <c r="I94" s="178" t="s">
        <v>350</v>
      </c>
      <c r="J94" s="178" t="s">
        <v>350</v>
      </c>
      <c r="K94" s="178" t="s">
        <v>350</v>
      </c>
      <c r="L94" s="178" t="s">
        <v>350</v>
      </c>
      <c r="M94" s="178" t="s">
        <v>350</v>
      </c>
      <c r="N94" s="178" t="s">
        <v>350</v>
      </c>
      <c r="O94" s="178" t="s">
        <v>350</v>
      </c>
      <c r="P94" s="178" t="s">
        <v>350</v>
      </c>
      <c r="Q94" s="178" t="s">
        <v>350</v>
      </c>
      <c r="R94" s="178" t="s">
        <v>350</v>
      </c>
      <c r="S94" s="178" t="s">
        <v>350</v>
      </c>
      <c r="T94" s="178" t="s">
        <v>350</v>
      </c>
      <c r="U94" s="178" t="s">
        <v>350</v>
      </c>
      <c r="V94" s="178" t="s">
        <v>350</v>
      </c>
      <c r="W94" s="178" t="s">
        <v>350</v>
      </c>
      <c r="X94" s="178" t="s">
        <v>350</v>
      </c>
      <c r="Y94" s="178" t="s">
        <v>350</v>
      </c>
      <c r="Z94" s="178" t="s">
        <v>350</v>
      </c>
      <c r="AA94" s="178" t="s">
        <v>350</v>
      </c>
      <c r="AB94" s="178" t="s">
        <v>350</v>
      </c>
      <c r="AC94" s="178" t="s">
        <v>350</v>
      </c>
      <c r="AD94" s="178" t="s">
        <v>350</v>
      </c>
      <c r="AE94" s="178" t="s">
        <v>350</v>
      </c>
      <c r="AF94" s="178" t="s">
        <v>350</v>
      </c>
      <c r="AG94" s="178" t="s">
        <v>350</v>
      </c>
      <c r="AH94" s="178" t="s">
        <v>350</v>
      </c>
      <c r="AI94" s="178" t="s">
        <v>350</v>
      </c>
      <c r="AJ94" s="178" t="s">
        <v>350</v>
      </c>
      <c r="AK94" s="178" t="s">
        <v>350</v>
      </c>
      <c r="AL94" s="178" t="s">
        <v>350</v>
      </c>
      <c r="AM94" s="178" t="s">
        <v>350</v>
      </c>
      <c r="AN94" s="178" t="s">
        <v>350</v>
      </c>
      <c r="AO94" s="178" t="s">
        <v>350</v>
      </c>
      <c r="AP94" s="178" t="s">
        <v>350</v>
      </c>
      <c r="AQ94" s="178" t="s">
        <v>350</v>
      </c>
      <c r="AR94" s="178" t="s">
        <v>350</v>
      </c>
      <c r="AS94" s="106"/>
      <c r="AT94" s="106"/>
      <c r="AU94" s="165" t="s">
        <v>361</v>
      </c>
      <c r="AV94" s="137"/>
      <c r="AW94" s="127"/>
    </row>
    <row r="95" spans="1:49" s="100" customFormat="1" ht="48">
      <c r="A95" s="136" t="s">
        <v>283</v>
      </c>
      <c r="B95" s="161" t="s">
        <v>368</v>
      </c>
      <c r="C95" s="151" t="s">
        <v>334</v>
      </c>
      <c r="D95" s="138">
        <v>1</v>
      </c>
      <c r="E95" s="168" t="s">
        <v>330</v>
      </c>
      <c r="F95" s="178" t="s">
        <v>350</v>
      </c>
      <c r="G95" s="178" t="s">
        <v>350</v>
      </c>
      <c r="H95" s="178" t="s">
        <v>350</v>
      </c>
      <c r="I95" s="178" t="s">
        <v>350</v>
      </c>
      <c r="J95" s="178" t="s">
        <v>350</v>
      </c>
      <c r="K95" s="178" t="s">
        <v>350</v>
      </c>
      <c r="L95" s="178" t="s">
        <v>350</v>
      </c>
      <c r="M95" s="178" t="s">
        <v>350</v>
      </c>
      <c r="N95" s="178" t="s">
        <v>350</v>
      </c>
      <c r="O95" s="178" t="s">
        <v>350</v>
      </c>
      <c r="P95" s="178" t="s">
        <v>350</v>
      </c>
      <c r="Q95" s="178" t="s">
        <v>350</v>
      </c>
      <c r="R95" s="178" t="s">
        <v>350</v>
      </c>
      <c r="S95" s="178" t="s">
        <v>350</v>
      </c>
      <c r="T95" s="178" t="s">
        <v>350</v>
      </c>
      <c r="U95" s="178" t="s">
        <v>350</v>
      </c>
      <c r="V95" s="178" t="s">
        <v>350</v>
      </c>
      <c r="W95" s="178" t="s">
        <v>350</v>
      </c>
      <c r="X95" s="178" t="s">
        <v>350</v>
      </c>
      <c r="Y95" s="178" t="s">
        <v>350</v>
      </c>
      <c r="Z95" s="178" t="s">
        <v>350</v>
      </c>
      <c r="AA95" s="178" t="s">
        <v>350</v>
      </c>
      <c r="AB95" s="178" t="s">
        <v>350</v>
      </c>
      <c r="AC95" s="178" t="s">
        <v>350</v>
      </c>
      <c r="AD95" s="178" t="s">
        <v>350</v>
      </c>
      <c r="AE95" s="178" t="s">
        <v>350</v>
      </c>
      <c r="AF95" s="178" t="s">
        <v>350</v>
      </c>
      <c r="AG95" s="178" t="s">
        <v>350</v>
      </c>
      <c r="AH95" s="178" t="s">
        <v>350</v>
      </c>
      <c r="AI95" s="178" t="s">
        <v>350</v>
      </c>
      <c r="AJ95" s="178" t="s">
        <v>350</v>
      </c>
      <c r="AK95" s="178" t="s">
        <v>350</v>
      </c>
      <c r="AL95" s="178" t="s">
        <v>350</v>
      </c>
      <c r="AM95" s="178" t="s">
        <v>350</v>
      </c>
      <c r="AN95" s="178" t="s">
        <v>350</v>
      </c>
      <c r="AO95" s="178" t="s">
        <v>350</v>
      </c>
      <c r="AP95" s="178" t="s">
        <v>350</v>
      </c>
      <c r="AQ95" s="178" t="s">
        <v>350</v>
      </c>
      <c r="AR95" s="178" t="s">
        <v>350</v>
      </c>
      <c r="AS95" s="106"/>
      <c r="AT95" s="106"/>
      <c r="AU95" s="133"/>
      <c r="AV95" s="134"/>
      <c r="AW95" s="127"/>
    </row>
    <row r="96" spans="1:49" s="31" customFormat="1" ht="12.75">
      <c r="A96" s="230" t="s">
        <v>262</v>
      </c>
      <c r="B96" s="316" t="s">
        <v>294</v>
      </c>
      <c r="C96" s="259" t="s">
        <v>316</v>
      </c>
      <c r="D96" s="227" t="s">
        <v>341</v>
      </c>
      <c r="E96" s="107" t="s">
        <v>42</v>
      </c>
      <c r="F96" s="123">
        <f>SUM(F97:F99)</f>
        <v>32392.399999999998</v>
      </c>
      <c r="G96" s="123">
        <f t="shared" ref="G96:G99" si="148">K96+N96+Q96+T96+W96+Z96</f>
        <v>12058.8</v>
      </c>
      <c r="H96" s="123">
        <f t="shared" ref="H96" si="149">SUM(H97:H99)</f>
        <v>11686.5</v>
      </c>
      <c r="I96" s="123">
        <f t="shared" ref="I96:I99" si="150">L96+O96+R96+U96</f>
        <v>7119.8</v>
      </c>
      <c r="J96" s="123">
        <f>H96/F96*100</f>
        <v>36.077907163408703</v>
      </c>
      <c r="K96" s="132">
        <f>K97+K98+K99</f>
        <v>822.5</v>
      </c>
      <c r="L96" s="132">
        <f>L97+L98+L99</f>
        <v>760.6</v>
      </c>
      <c r="M96" s="123">
        <f t="shared" ref="M96:M98" si="151">L96/K96*100</f>
        <v>92.474164133738597</v>
      </c>
      <c r="N96" s="132">
        <f>N97+N98+N99</f>
        <v>2716.6</v>
      </c>
      <c r="O96" s="132">
        <f>O97+O98+O99</f>
        <v>2220.5</v>
      </c>
      <c r="P96" s="132">
        <f>O96/N96*100</f>
        <v>81.738202164470295</v>
      </c>
      <c r="Q96" s="132">
        <f>Q97+Q98+Q99</f>
        <v>658.19999999999993</v>
      </c>
      <c r="R96" s="132">
        <f>R97+R98+R99</f>
        <v>989.6</v>
      </c>
      <c r="S96" s="123">
        <f t="shared" ref="S96:S98" si="152">R96/Q96*100</f>
        <v>150.34943786083258</v>
      </c>
      <c r="T96" s="132">
        <f>T97+T98+T99</f>
        <v>3286.7</v>
      </c>
      <c r="U96" s="132">
        <f>U97+U98+U99</f>
        <v>3149.1000000000004</v>
      </c>
      <c r="V96" s="132">
        <f>U96/T96*100</f>
        <v>95.813429884078275</v>
      </c>
      <c r="W96" s="132">
        <f t="shared" ref="W96:AR96" si="153">W97+W98+W99</f>
        <v>2339.5</v>
      </c>
      <c r="X96" s="132">
        <f t="shared" si="153"/>
        <v>2386.9</v>
      </c>
      <c r="Y96" s="132">
        <f>X96/W96*100</f>
        <v>102.02607394742466</v>
      </c>
      <c r="Z96" s="132">
        <f t="shared" si="153"/>
        <v>2235.3000000000002</v>
      </c>
      <c r="AA96" s="132">
        <f t="shared" si="153"/>
        <v>2179.8000000000002</v>
      </c>
      <c r="AB96" s="132">
        <f>AA96/Z96*100</f>
        <v>97.517111797074222</v>
      </c>
      <c r="AC96" s="132">
        <f t="shared" si="153"/>
        <v>3754.2999999999997</v>
      </c>
      <c r="AD96" s="132">
        <f t="shared" si="153"/>
        <v>0</v>
      </c>
      <c r="AE96" s="132">
        <f t="shared" si="153"/>
        <v>0</v>
      </c>
      <c r="AF96" s="132">
        <f t="shared" si="153"/>
        <v>2561.1999999999998</v>
      </c>
      <c r="AG96" s="132">
        <f t="shared" si="153"/>
        <v>0</v>
      </c>
      <c r="AH96" s="132">
        <f t="shared" si="153"/>
        <v>0</v>
      </c>
      <c r="AI96" s="132">
        <f t="shared" si="153"/>
        <v>2025.5</v>
      </c>
      <c r="AJ96" s="132">
        <f t="shared" si="153"/>
        <v>0</v>
      </c>
      <c r="AK96" s="132">
        <f t="shared" si="153"/>
        <v>0</v>
      </c>
      <c r="AL96" s="132">
        <f t="shared" si="153"/>
        <v>3372.9</v>
      </c>
      <c r="AM96" s="132">
        <f t="shared" si="153"/>
        <v>0</v>
      </c>
      <c r="AN96" s="132">
        <f t="shared" si="153"/>
        <v>0</v>
      </c>
      <c r="AO96" s="132">
        <f t="shared" si="153"/>
        <v>2222.6999999999998</v>
      </c>
      <c r="AP96" s="132">
        <f t="shared" si="153"/>
        <v>0</v>
      </c>
      <c r="AQ96" s="132">
        <f t="shared" si="153"/>
        <v>0</v>
      </c>
      <c r="AR96" s="132">
        <f t="shared" si="153"/>
        <v>6397</v>
      </c>
      <c r="AS96" s="104"/>
      <c r="AT96" s="104"/>
      <c r="AU96" s="319" t="s">
        <v>385</v>
      </c>
      <c r="AV96" s="256" t="s">
        <v>386</v>
      </c>
    </row>
    <row r="97" spans="1:49" s="31" customFormat="1" ht="36">
      <c r="A97" s="231"/>
      <c r="B97" s="317"/>
      <c r="C97" s="260"/>
      <c r="D97" s="228"/>
      <c r="E97" s="108" t="s">
        <v>3</v>
      </c>
      <c r="F97" s="123">
        <f>K97+N97+Q97+T97+W97+Z97+AC97+AF97+AI97+AL97+AO97+AR97</f>
        <v>14536.3</v>
      </c>
      <c r="G97" s="123">
        <f t="shared" si="148"/>
        <v>9877.6999999999989</v>
      </c>
      <c r="H97" s="123">
        <f>L97+O97+R97+U97+X97+AA97+AD97+AG97+AJ97+AM97+AP97+AS97</f>
        <v>9505.4</v>
      </c>
      <c r="I97" s="123">
        <f t="shared" si="150"/>
        <v>5430.1</v>
      </c>
      <c r="J97" s="123">
        <f>H97/F97*100</f>
        <v>65.390780322365387</v>
      </c>
      <c r="K97" s="123">
        <v>471.4</v>
      </c>
      <c r="L97" s="123">
        <v>409.5</v>
      </c>
      <c r="M97" s="123">
        <f t="shared" si="151"/>
        <v>86.868901145523978</v>
      </c>
      <c r="N97" s="179">
        <v>2580.6999999999998</v>
      </c>
      <c r="O97" s="123">
        <v>1657.6</v>
      </c>
      <c r="P97" s="156">
        <f t="shared" ref="P97:P98" si="154">O97/N97*100</f>
        <v>64.230635099004147</v>
      </c>
      <c r="Q97" s="123">
        <f>1307.8-1254</f>
        <v>53.799999999999955</v>
      </c>
      <c r="R97" s="123">
        <v>989.6</v>
      </c>
      <c r="S97" s="123">
        <f t="shared" si="152"/>
        <v>1839.405204460968</v>
      </c>
      <c r="T97" s="123">
        <v>2688.4</v>
      </c>
      <c r="U97" s="123">
        <v>2373.4</v>
      </c>
      <c r="V97" s="132">
        <f t="shared" ref="V97:V98" si="155">U97/T97*100</f>
        <v>88.28299360214254</v>
      </c>
      <c r="W97" s="117">
        <v>2098.1</v>
      </c>
      <c r="X97" s="117">
        <v>2145.5</v>
      </c>
      <c r="Y97" s="132">
        <f t="shared" ref="Y97:Y98" si="156">X97/W97*100</f>
        <v>102.25918688337067</v>
      </c>
      <c r="Z97" s="117">
        <f>1985.3</f>
        <v>1985.3</v>
      </c>
      <c r="AA97" s="117">
        <v>1929.8</v>
      </c>
      <c r="AB97" s="117">
        <f>AA97/Z97*100</f>
        <v>97.204452727547476</v>
      </c>
      <c r="AC97" s="117">
        <v>3404.6</v>
      </c>
      <c r="AD97" s="117">
        <v>0</v>
      </c>
      <c r="AE97" s="117">
        <v>0</v>
      </c>
      <c r="AF97" s="117">
        <f>0+1254</f>
        <v>1254</v>
      </c>
      <c r="AG97" s="117">
        <v>0</v>
      </c>
      <c r="AH97" s="117">
        <v>0</v>
      </c>
      <c r="AI97" s="117">
        <v>0</v>
      </c>
      <c r="AJ97" s="117">
        <v>0</v>
      </c>
      <c r="AK97" s="117">
        <v>0</v>
      </c>
      <c r="AL97" s="123">
        <v>0</v>
      </c>
      <c r="AM97" s="123">
        <v>0</v>
      </c>
      <c r="AN97" s="123">
        <v>0</v>
      </c>
      <c r="AO97" s="117">
        <v>0</v>
      </c>
      <c r="AP97" s="117">
        <v>0</v>
      </c>
      <c r="AQ97" s="117">
        <v>0</v>
      </c>
      <c r="AR97" s="123">
        <v>0</v>
      </c>
      <c r="AS97" s="104"/>
      <c r="AT97" s="104"/>
      <c r="AU97" s="320"/>
      <c r="AV97" s="257"/>
    </row>
    <row r="98" spans="1:49" s="31" customFormat="1" ht="24">
      <c r="A98" s="231"/>
      <c r="B98" s="317"/>
      <c r="C98" s="260"/>
      <c r="D98" s="228"/>
      <c r="E98" s="108" t="s">
        <v>44</v>
      </c>
      <c r="F98" s="123">
        <f t="shared" ref="F98:F99" si="157">K98+N98+Q98+T98+W98+Z98+AC98+AF98+AI98+AL98+AO98+AR98</f>
        <v>17856.099999999999</v>
      </c>
      <c r="G98" s="123">
        <f t="shared" si="148"/>
        <v>2181.1000000000004</v>
      </c>
      <c r="H98" s="123">
        <f t="shared" ref="H98:H99" si="158">L98+O98+R98+U98+X98+AA98+AD98+AG98+AJ98+AM98+AP98+AS98</f>
        <v>2181.1000000000004</v>
      </c>
      <c r="I98" s="123">
        <f t="shared" si="150"/>
        <v>1689.7</v>
      </c>
      <c r="J98" s="123">
        <f>H98/F98*100</f>
        <v>12.214873348603561</v>
      </c>
      <c r="K98" s="123">
        <v>351.1</v>
      </c>
      <c r="L98" s="123">
        <v>351.1</v>
      </c>
      <c r="M98" s="123">
        <f t="shared" si="151"/>
        <v>100</v>
      </c>
      <c r="N98" s="179">
        <f>135.8+0.1</f>
        <v>135.9</v>
      </c>
      <c r="O98" s="123">
        <v>562.9</v>
      </c>
      <c r="P98" s="156">
        <f t="shared" si="154"/>
        <v>414.20161883738035</v>
      </c>
      <c r="Q98" s="123">
        <f>604.5-0.1</f>
        <v>604.4</v>
      </c>
      <c r="R98" s="123">
        <v>0</v>
      </c>
      <c r="S98" s="123">
        <f t="shared" si="152"/>
        <v>0</v>
      </c>
      <c r="T98" s="123">
        <f>344+254.3</f>
        <v>598.29999999999995</v>
      </c>
      <c r="U98" s="123">
        <f>775.7</f>
        <v>775.7</v>
      </c>
      <c r="V98" s="132">
        <f t="shared" si="155"/>
        <v>129.65067691793416</v>
      </c>
      <c r="W98" s="117">
        <v>241.4</v>
      </c>
      <c r="X98" s="117">
        <v>241.4</v>
      </c>
      <c r="Y98" s="132">
        <f t="shared" si="156"/>
        <v>100</v>
      </c>
      <c r="Z98" s="117">
        <f>250+254.3-254.3</f>
        <v>250</v>
      </c>
      <c r="AA98" s="117">
        <v>250</v>
      </c>
      <c r="AB98" s="117">
        <f>AA98/Z98*100</f>
        <v>100</v>
      </c>
      <c r="AC98" s="117">
        <v>349.7</v>
      </c>
      <c r="AD98" s="117">
        <v>0</v>
      </c>
      <c r="AE98" s="117">
        <v>0</v>
      </c>
      <c r="AF98" s="117">
        <f>2561.2-1254</f>
        <v>1307.1999999999998</v>
      </c>
      <c r="AG98" s="117">
        <v>0</v>
      </c>
      <c r="AH98" s="117">
        <v>0</v>
      </c>
      <c r="AI98" s="117">
        <v>2025.5</v>
      </c>
      <c r="AJ98" s="117">
        <v>0</v>
      </c>
      <c r="AK98" s="117">
        <v>0</v>
      </c>
      <c r="AL98" s="123">
        <v>3372.9</v>
      </c>
      <c r="AM98" s="123">
        <v>0</v>
      </c>
      <c r="AN98" s="123">
        <v>0</v>
      </c>
      <c r="AO98" s="117">
        <v>2222.6999999999998</v>
      </c>
      <c r="AP98" s="117">
        <v>0</v>
      </c>
      <c r="AQ98" s="117">
        <v>0</v>
      </c>
      <c r="AR98" s="123">
        <f>5397.3-254.3+1254</f>
        <v>6397</v>
      </c>
      <c r="AS98" s="104"/>
      <c r="AT98" s="104"/>
      <c r="AU98" s="320"/>
      <c r="AV98" s="257"/>
    </row>
    <row r="99" spans="1:49" s="31" customFormat="1" ht="24">
      <c r="A99" s="232"/>
      <c r="B99" s="318"/>
      <c r="C99" s="261"/>
      <c r="D99" s="229"/>
      <c r="E99" s="109" t="s">
        <v>275</v>
      </c>
      <c r="F99" s="123">
        <f t="shared" si="157"/>
        <v>0</v>
      </c>
      <c r="G99" s="123">
        <f t="shared" si="148"/>
        <v>0</v>
      </c>
      <c r="H99" s="123">
        <f t="shared" si="158"/>
        <v>0</v>
      </c>
      <c r="I99" s="123">
        <f t="shared" si="150"/>
        <v>0</v>
      </c>
      <c r="J99" s="123">
        <v>0</v>
      </c>
      <c r="K99" s="123">
        <v>0</v>
      </c>
      <c r="L99" s="123">
        <v>0</v>
      </c>
      <c r="M99" s="123">
        <v>0</v>
      </c>
      <c r="N99" s="179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0</v>
      </c>
      <c r="T99" s="123">
        <v>0</v>
      </c>
      <c r="U99" s="123">
        <v>0</v>
      </c>
      <c r="V99" s="124">
        <v>0</v>
      </c>
      <c r="W99" s="117">
        <v>0</v>
      </c>
      <c r="X99" s="117">
        <v>0</v>
      </c>
      <c r="Y99" s="117">
        <v>0</v>
      </c>
      <c r="Z99" s="117">
        <v>0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23">
        <v>0</v>
      </c>
      <c r="AM99" s="123">
        <v>0</v>
      </c>
      <c r="AN99" s="123">
        <v>0</v>
      </c>
      <c r="AO99" s="117">
        <v>0</v>
      </c>
      <c r="AP99" s="117">
        <v>0</v>
      </c>
      <c r="AQ99" s="117">
        <v>0</v>
      </c>
      <c r="AR99" s="123">
        <v>0</v>
      </c>
      <c r="AS99" s="104"/>
      <c r="AT99" s="104"/>
      <c r="AU99" s="321"/>
      <c r="AV99" s="258"/>
    </row>
    <row r="100" spans="1:49" s="31" customFormat="1" ht="24.75" customHeight="1">
      <c r="A100" s="288" t="s">
        <v>421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90"/>
    </row>
    <row r="101" spans="1:49" s="31" customFormat="1" ht="24.75" customHeight="1">
      <c r="A101" s="288" t="s">
        <v>420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90"/>
    </row>
    <row r="102" spans="1:49" s="100" customFormat="1" ht="12.75" customHeight="1">
      <c r="A102" s="303" t="s">
        <v>317</v>
      </c>
      <c r="B102" s="304"/>
      <c r="C102" s="304"/>
      <c r="D102" s="305"/>
      <c r="E102" s="129" t="s">
        <v>42</v>
      </c>
      <c r="F102" s="106">
        <f>F103+F104+F105</f>
        <v>491.40000000000003</v>
      </c>
      <c r="G102" s="106">
        <f>K102+N102+Q102+T102+W102+Z102</f>
        <v>349.8</v>
      </c>
      <c r="H102" s="106">
        <f t="shared" ref="H102:AT102" si="159">H103+H104+H105</f>
        <v>309.39999999999998</v>
      </c>
      <c r="I102" s="106">
        <f>L102+O102+R102+U102</f>
        <v>234.29999999999998</v>
      </c>
      <c r="J102" s="106">
        <f>H102/F102*100</f>
        <v>62.962962962962955</v>
      </c>
      <c r="K102" s="106">
        <f t="shared" si="159"/>
        <v>0</v>
      </c>
      <c r="L102" s="106">
        <f t="shared" si="159"/>
        <v>0</v>
      </c>
      <c r="M102" s="106">
        <v>0</v>
      </c>
      <c r="N102" s="106">
        <f t="shared" si="159"/>
        <v>0</v>
      </c>
      <c r="O102" s="106">
        <f t="shared" si="159"/>
        <v>0</v>
      </c>
      <c r="P102" s="106">
        <v>0</v>
      </c>
      <c r="Q102" s="106">
        <f t="shared" si="159"/>
        <v>261.2</v>
      </c>
      <c r="R102" s="106">
        <f t="shared" si="159"/>
        <v>250.6</v>
      </c>
      <c r="S102" s="106">
        <f>R102/Q102*100</f>
        <v>95.941807044410425</v>
      </c>
      <c r="T102" s="106">
        <f t="shared" si="159"/>
        <v>0</v>
      </c>
      <c r="U102" s="106">
        <f t="shared" si="159"/>
        <v>-16.3</v>
      </c>
      <c r="V102" s="106">
        <v>0</v>
      </c>
      <c r="W102" s="106">
        <f t="shared" si="159"/>
        <v>58.6</v>
      </c>
      <c r="X102" s="106">
        <f t="shared" si="159"/>
        <v>51</v>
      </c>
      <c r="Y102" s="106">
        <f t="shared" si="159"/>
        <v>87.030716723549489</v>
      </c>
      <c r="Z102" s="106">
        <f t="shared" si="159"/>
        <v>30</v>
      </c>
      <c r="AA102" s="106">
        <f t="shared" si="159"/>
        <v>24.1</v>
      </c>
      <c r="AB102" s="106">
        <f t="shared" si="159"/>
        <v>80.333333333333329</v>
      </c>
      <c r="AC102" s="106">
        <f t="shared" si="159"/>
        <v>0</v>
      </c>
      <c r="AD102" s="106">
        <f t="shared" si="159"/>
        <v>0</v>
      </c>
      <c r="AE102" s="106">
        <f t="shared" si="159"/>
        <v>0</v>
      </c>
      <c r="AF102" s="106">
        <f t="shared" si="159"/>
        <v>84</v>
      </c>
      <c r="AG102" s="106">
        <f t="shared" si="159"/>
        <v>0</v>
      </c>
      <c r="AH102" s="106">
        <f t="shared" si="159"/>
        <v>0</v>
      </c>
      <c r="AI102" s="106">
        <f t="shared" si="159"/>
        <v>0</v>
      </c>
      <c r="AJ102" s="106">
        <f t="shared" si="159"/>
        <v>0</v>
      </c>
      <c r="AK102" s="106">
        <f t="shared" si="159"/>
        <v>0</v>
      </c>
      <c r="AL102" s="106">
        <f t="shared" si="159"/>
        <v>0</v>
      </c>
      <c r="AM102" s="106">
        <f t="shared" si="159"/>
        <v>0</v>
      </c>
      <c r="AN102" s="106">
        <f t="shared" si="159"/>
        <v>0</v>
      </c>
      <c r="AO102" s="106">
        <f t="shared" si="159"/>
        <v>57.6</v>
      </c>
      <c r="AP102" s="106">
        <f t="shared" si="159"/>
        <v>0</v>
      </c>
      <c r="AQ102" s="106">
        <f t="shared" si="159"/>
        <v>0</v>
      </c>
      <c r="AR102" s="106">
        <f t="shared" si="159"/>
        <v>0</v>
      </c>
      <c r="AS102" s="106">
        <f t="shared" si="159"/>
        <v>0</v>
      </c>
      <c r="AT102" s="106">
        <f t="shared" si="159"/>
        <v>0</v>
      </c>
      <c r="AU102" s="243"/>
      <c r="AV102" s="247"/>
      <c r="AW102" s="127"/>
    </row>
    <row r="103" spans="1:49" s="100" customFormat="1" ht="36">
      <c r="A103" s="306"/>
      <c r="B103" s="307"/>
      <c r="C103" s="307"/>
      <c r="D103" s="308"/>
      <c r="E103" s="111" t="s">
        <v>3</v>
      </c>
      <c r="F103" s="106">
        <f>F112</f>
        <v>0</v>
      </c>
      <c r="G103" s="106">
        <f t="shared" ref="G103:G105" si="160">K103+N103+Q103+T103+W103+Z103</f>
        <v>0</v>
      </c>
      <c r="H103" s="106">
        <f t="shared" ref="H103:AT105" si="161">H112</f>
        <v>0</v>
      </c>
      <c r="I103" s="106">
        <f t="shared" ref="I103:I105" si="162">L103+O103+R103+U103</f>
        <v>0</v>
      </c>
      <c r="J103" s="106">
        <v>0</v>
      </c>
      <c r="K103" s="106">
        <f t="shared" si="161"/>
        <v>0</v>
      </c>
      <c r="L103" s="106">
        <f t="shared" si="161"/>
        <v>0</v>
      </c>
      <c r="M103" s="106">
        <v>0</v>
      </c>
      <c r="N103" s="106">
        <f t="shared" si="161"/>
        <v>0</v>
      </c>
      <c r="O103" s="106">
        <f t="shared" si="161"/>
        <v>0</v>
      </c>
      <c r="P103" s="106">
        <v>0</v>
      </c>
      <c r="Q103" s="106">
        <f t="shared" si="161"/>
        <v>0</v>
      </c>
      <c r="R103" s="106">
        <f t="shared" si="161"/>
        <v>0</v>
      </c>
      <c r="S103" s="106">
        <v>0</v>
      </c>
      <c r="T103" s="106">
        <f t="shared" si="161"/>
        <v>0</v>
      </c>
      <c r="U103" s="106">
        <f t="shared" si="161"/>
        <v>0</v>
      </c>
      <c r="V103" s="106">
        <f t="shared" si="161"/>
        <v>0</v>
      </c>
      <c r="W103" s="106">
        <f t="shared" si="161"/>
        <v>0</v>
      </c>
      <c r="X103" s="106">
        <f t="shared" si="161"/>
        <v>0</v>
      </c>
      <c r="Y103" s="106">
        <f t="shared" si="161"/>
        <v>0</v>
      </c>
      <c r="Z103" s="106">
        <f t="shared" si="161"/>
        <v>0</v>
      </c>
      <c r="AA103" s="106">
        <f t="shared" si="161"/>
        <v>0</v>
      </c>
      <c r="AB103" s="106">
        <f t="shared" si="161"/>
        <v>0</v>
      </c>
      <c r="AC103" s="106">
        <f t="shared" si="161"/>
        <v>0</v>
      </c>
      <c r="AD103" s="106">
        <f t="shared" si="161"/>
        <v>0</v>
      </c>
      <c r="AE103" s="106">
        <f t="shared" si="161"/>
        <v>0</v>
      </c>
      <c r="AF103" s="106">
        <f t="shared" si="161"/>
        <v>0</v>
      </c>
      <c r="AG103" s="106">
        <f t="shared" si="161"/>
        <v>0</v>
      </c>
      <c r="AH103" s="106">
        <f t="shared" si="161"/>
        <v>0</v>
      </c>
      <c r="AI103" s="106">
        <f t="shared" si="161"/>
        <v>0</v>
      </c>
      <c r="AJ103" s="106">
        <f t="shared" si="161"/>
        <v>0</v>
      </c>
      <c r="AK103" s="106">
        <f t="shared" si="161"/>
        <v>0</v>
      </c>
      <c r="AL103" s="106">
        <f t="shared" si="161"/>
        <v>0</v>
      </c>
      <c r="AM103" s="106">
        <f t="shared" si="161"/>
        <v>0</v>
      </c>
      <c r="AN103" s="106">
        <f t="shared" si="161"/>
        <v>0</v>
      </c>
      <c r="AO103" s="106">
        <f t="shared" si="161"/>
        <v>0</v>
      </c>
      <c r="AP103" s="106">
        <f t="shared" si="161"/>
        <v>0</v>
      </c>
      <c r="AQ103" s="106">
        <f t="shared" si="161"/>
        <v>0</v>
      </c>
      <c r="AR103" s="106">
        <f t="shared" si="161"/>
        <v>0</v>
      </c>
      <c r="AS103" s="106">
        <f t="shared" si="161"/>
        <v>0</v>
      </c>
      <c r="AT103" s="106">
        <f t="shared" si="161"/>
        <v>0</v>
      </c>
      <c r="AU103" s="244"/>
      <c r="AV103" s="248"/>
      <c r="AW103" s="127"/>
    </row>
    <row r="104" spans="1:49" s="100" customFormat="1" ht="24">
      <c r="A104" s="306"/>
      <c r="B104" s="307"/>
      <c r="C104" s="307"/>
      <c r="D104" s="308"/>
      <c r="E104" s="111" t="s">
        <v>44</v>
      </c>
      <c r="F104" s="106">
        <f>F113</f>
        <v>491.40000000000003</v>
      </c>
      <c r="G104" s="106">
        <f t="shared" si="160"/>
        <v>349.8</v>
      </c>
      <c r="H104" s="106">
        <f t="shared" si="161"/>
        <v>309.39999999999998</v>
      </c>
      <c r="I104" s="106">
        <f t="shared" si="162"/>
        <v>234.29999999999998</v>
      </c>
      <c r="J104" s="106">
        <f t="shared" ref="J104" si="163">H104/F104*100</f>
        <v>62.962962962962955</v>
      </c>
      <c r="K104" s="106">
        <f t="shared" si="161"/>
        <v>0</v>
      </c>
      <c r="L104" s="106">
        <f t="shared" si="161"/>
        <v>0</v>
      </c>
      <c r="M104" s="106">
        <v>0</v>
      </c>
      <c r="N104" s="106">
        <f t="shared" si="161"/>
        <v>0</v>
      </c>
      <c r="O104" s="106">
        <f t="shared" si="161"/>
        <v>0</v>
      </c>
      <c r="P104" s="106">
        <v>0</v>
      </c>
      <c r="Q104" s="106">
        <f t="shared" si="161"/>
        <v>261.2</v>
      </c>
      <c r="R104" s="106">
        <f t="shared" si="161"/>
        <v>250.6</v>
      </c>
      <c r="S104" s="106">
        <f t="shared" ref="S104" si="164">R104/Q104*100</f>
        <v>95.941807044410425</v>
      </c>
      <c r="T104" s="106">
        <f t="shared" si="161"/>
        <v>0</v>
      </c>
      <c r="U104" s="106">
        <f t="shared" si="161"/>
        <v>-16.3</v>
      </c>
      <c r="V104" s="106">
        <f t="shared" si="161"/>
        <v>0</v>
      </c>
      <c r="W104" s="106">
        <f t="shared" si="161"/>
        <v>58.6</v>
      </c>
      <c r="X104" s="106">
        <f t="shared" si="161"/>
        <v>51</v>
      </c>
      <c r="Y104" s="106">
        <f t="shared" si="161"/>
        <v>87.030716723549489</v>
      </c>
      <c r="Z104" s="106">
        <f t="shared" si="161"/>
        <v>30</v>
      </c>
      <c r="AA104" s="106">
        <f t="shared" si="161"/>
        <v>24.1</v>
      </c>
      <c r="AB104" s="106">
        <f t="shared" si="161"/>
        <v>80.333333333333329</v>
      </c>
      <c r="AC104" s="106">
        <f t="shared" si="161"/>
        <v>0</v>
      </c>
      <c r="AD104" s="106">
        <f t="shared" si="161"/>
        <v>0</v>
      </c>
      <c r="AE104" s="106">
        <f t="shared" si="161"/>
        <v>0</v>
      </c>
      <c r="AF104" s="106">
        <f t="shared" si="161"/>
        <v>84</v>
      </c>
      <c r="AG104" s="106">
        <f t="shared" si="161"/>
        <v>0</v>
      </c>
      <c r="AH104" s="106">
        <f t="shared" si="161"/>
        <v>0</v>
      </c>
      <c r="AI104" s="106">
        <f t="shared" si="161"/>
        <v>0</v>
      </c>
      <c r="AJ104" s="106">
        <f t="shared" si="161"/>
        <v>0</v>
      </c>
      <c r="AK104" s="106">
        <f t="shared" si="161"/>
        <v>0</v>
      </c>
      <c r="AL104" s="106">
        <f t="shared" si="161"/>
        <v>0</v>
      </c>
      <c r="AM104" s="106">
        <f t="shared" si="161"/>
        <v>0</v>
      </c>
      <c r="AN104" s="106">
        <f t="shared" si="161"/>
        <v>0</v>
      </c>
      <c r="AO104" s="106">
        <f t="shared" si="161"/>
        <v>57.6</v>
      </c>
      <c r="AP104" s="106">
        <f t="shared" si="161"/>
        <v>0</v>
      </c>
      <c r="AQ104" s="106">
        <f t="shared" si="161"/>
        <v>0</v>
      </c>
      <c r="AR104" s="106">
        <f t="shared" si="161"/>
        <v>0</v>
      </c>
      <c r="AS104" s="106">
        <f t="shared" si="161"/>
        <v>0</v>
      </c>
      <c r="AT104" s="106">
        <f t="shared" si="161"/>
        <v>0</v>
      </c>
      <c r="AU104" s="244"/>
      <c r="AV104" s="248"/>
      <c r="AW104" s="127"/>
    </row>
    <row r="105" spans="1:49" s="100" customFormat="1" ht="24">
      <c r="A105" s="309"/>
      <c r="B105" s="310"/>
      <c r="C105" s="310"/>
      <c r="D105" s="311"/>
      <c r="E105" s="110" t="s">
        <v>275</v>
      </c>
      <c r="F105" s="106">
        <f>F114</f>
        <v>0</v>
      </c>
      <c r="G105" s="106">
        <f t="shared" si="160"/>
        <v>0</v>
      </c>
      <c r="H105" s="106">
        <f t="shared" si="161"/>
        <v>0</v>
      </c>
      <c r="I105" s="106">
        <f t="shared" si="162"/>
        <v>0</v>
      </c>
      <c r="J105" s="106">
        <v>0</v>
      </c>
      <c r="K105" s="106">
        <f t="shared" si="161"/>
        <v>0</v>
      </c>
      <c r="L105" s="106">
        <f t="shared" si="161"/>
        <v>0</v>
      </c>
      <c r="M105" s="106">
        <f t="shared" si="161"/>
        <v>0</v>
      </c>
      <c r="N105" s="106">
        <f t="shared" si="161"/>
        <v>0</v>
      </c>
      <c r="O105" s="106">
        <f t="shared" si="161"/>
        <v>0</v>
      </c>
      <c r="P105" s="106">
        <v>0</v>
      </c>
      <c r="Q105" s="106">
        <f t="shared" si="161"/>
        <v>0</v>
      </c>
      <c r="R105" s="106">
        <f t="shared" si="161"/>
        <v>0</v>
      </c>
      <c r="S105" s="106">
        <f t="shared" si="161"/>
        <v>0</v>
      </c>
      <c r="T105" s="106">
        <f t="shared" si="161"/>
        <v>0</v>
      </c>
      <c r="U105" s="106">
        <f t="shared" si="161"/>
        <v>0</v>
      </c>
      <c r="V105" s="106">
        <f t="shared" si="161"/>
        <v>0</v>
      </c>
      <c r="W105" s="106">
        <f t="shared" si="161"/>
        <v>0</v>
      </c>
      <c r="X105" s="106">
        <f t="shared" si="161"/>
        <v>0</v>
      </c>
      <c r="Y105" s="106">
        <f t="shared" si="161"/>
        <v>0</v>
      </c>
      <c r="Z105" s="106">
        <f t="shared" si="161"/>
        <v>0</v>
      </c>
      <c r="AA105" s="106">
        <f t="shared" si="161"/>
        <v>0</v>
      </c>
      <c r="AB105" s="106">
        <f t="shared" si="161"/>
        <v>0</v>
      </c>
      <c r="AC105" s="106">
        <f t="shared" si="161"/>
        <v>0</v>
      </c>
      <c r="AD105" s="106">
        <f t="shared" si="161"/>
        <v>0</v>
      </c>
      <c r="AE105" s="106">
        <f t="shared" si="161"/>
        <v>0</v>
      </c>
      <c r="AF105" s="106">
        <f t="shared" si="161"/>
        <v>0</v>
      </c>
      <c r="AG105" s="106">
        <f t="shared" si="161"/>
        <v>0</v>
      </c>
      <c r="AH105" s="106">
        <f t="shared" si="161"/>
        <v>0</v>
      </c>
      <c r="AI105" s="106">
        <f t="shared" si="161"/>
        <v>0</v>
      </c>
      <c r="AJ105" s="106">
        <f t="shared" si="161"/>
        <v>0</v>
      </c>
      <c r="AK105" s="106">
        <f t="shared" si="161"/>
        <v>0</v>
      </c>
      <c r="AL105" s="106">
        <f t="shared" si="161"/>
        <v>0</v>
      </c>
      <c r="AM105" s="106">
        <f t="shared" si="161"/>
        <v>0</v>
      </c>
      <c r="AN105" s="106">
        <f t="shared" si="161"/>
        <v>0</v>
      </c>
      <c r="AO105" s="106">
        <f t="shared" si="161"/>
        <v>0</v>
      </c>
      <c r="AP105" s="106">
        <f t="shared" si="161"/>
        <v>0</v>
      </c>
      <c r="AQ105" s="106">
        <f t="shared" si="161"/>
        <v>0</v>
      </c>
      <c r="AR105" s="106">
        <f t="shared" si="161"/>
        <v>0</v>
      </c>
      <c r="AS105" s="106">
        <f t="shared" si="161"/>
        <v>0</v>
      </c>
      <c r="AT105" s="106">
        <f t="shared" si="161"/>
        <v>0</v>
      </c>
      <c r="AU105" s="245"/>
      <c r="AV105" s="249"/>
      <c r="AW105" s="127"/>
    </row>
    <row r="106" spans="1:49" s="100" customFormat="1" ht="108">
      <c r="A106" s="136" t="s">
        <v>328</v>
      </c>
      <c r="B106" s="150" t="s">
        <v>344</v>
      </c>
      <c r="C106" s="151" t="s">
        <v>335</v>
      </c>
      <c r="D106" s="160" t="s">
        <v>371</v>
      </c>
      <c r="E106" s="169" t="s">
        <v>330</v>
      </c>
      <c r="F106" s="178" t="s">
        <v>350</v>
      </c>
      <c r="G106" s="178" t="s">
        <v>350</v>
      </c>
      <c r="H106" s="178" t="s">
        <v>350</v>
      </c>
      <c r="I106" s="178" t="s">
        <v>350</v>
      </c>
      <c r="J106" s="178" t="s">
        <v>350</v>
      </c>
      <c r="K106" s="178" t="s">
        <v>350</v>
      </c>
      <c r="L106" s="178" t="s">
        <v>350</v>
      </c>
      <c r="M106" s="178" t="s">
        <v>350</v>
      </c>
      <c r="N106" s="178" t="s">
        <v>350</v>
      </c>
      <c r="O106" s="178" t="s">
        <v>350</v>
      </c>
      <c r="P106" s="178" t="s">
        <v>350</v>
      </c>
      <c r="Q106" s="178" t="s">
        <v>350</v>
      </c>
      <c r="R106" s="178" t="s">
        <v>350</v>
      </c>
      <c r="S106" s="178" t="s">
        <v>350</v>
      </c>
      <c r="T106" s="178" t="s">
        <v>350</v>
      </c>
      <c r="U106" s="178" t="s">
        <v>350</v>
      </c>
      <c r="V106" s="178" t="s">
        <v>350</v>
      </c>
      <c r="W106" s="178" t="s">
        <v>350</v>
      </c>
      <c r="X106" s="178" t="s">
        <v>350</v>
      </c>
      <c r="Y106" s="178" t="s">
        <v>350</v>
      </c>
      <c r="Z106" s="178" t="s">
        <v>350</v>
      </c>
      <c r="AA106" s="178" t="s">
        <v>350</v>
      </c>
      <c r="AB106" s="178" t="s">
        <v>350</v>
      </c>
      <c r="AC106" s="178" t="s">
        <v>350</v>
      </c>
      <c r="AD106" s="178" t="s">
        <v>350</v>
      </c>
      <c r="AE106" s="178" t="s">
        <v>350</v>
      </c>
      <c r="AF106" s="178" t="s">
        <v>350</v>
      </c>
      <c r="AG106" s="178" t="s">
        <v>350</v>
      </c>
      <c r="AH106" s="178" t="s">
        <v>350</v>
      </c>
      <c r="AI106" s="178" t="s">
        <v>350</v>
      </c>
      <c r="AJ106" s="178" t="s">
        <v>350</v>
      </c>
      <c r="AK106" s="178" t="s">
        <v>350</v>
      </c>
      <c r="AL106" s="178" t="s">
        <v>350</v>
      </c>
      <c r="AM106" s="178" t="s">
        <v>350</v>
      </c>
      <c r="AN106" s="178" t="s">
        <v>350</v>
      </c>
      <c r="AO106" s="178" t="s">
        <v>350</v>
      </c>
      <c r="AP106" s="178" t="s">
        <v>350</v>
      </c>
      <c r="AQ106" s="178" t="s">
        <v>350</v>
      </c>
      <c r="AR106" s="178" t="s">
        <v>350</v>
      </c>
      <c r="AS106" s="106"/>
      <c r="AT106" s="106"/>
      <c r="AU106" s="171" t="s">
        <v>387</v>
      </c>
      <c r="AV106" s="157"/>
      <c r="AW106" s="127"/>
    </row>
    <row r="107" spans="1:49" s="100" customFormat="1" ht="378" customHeight="1">
      <c r="A107" s="142" t="s">
        <v>259</v>
      </c>
      <c r="B107" s="150" t="s">
        <v>345</v>
      </c>
      <c r="C107" s="151" t="s">
        <v>336</v>
      </c>
      <c r="D107" s="160" t="s">
        <v>371</v>
      </c>
      <c r="E107" s="169" t="s">
        <v>330</v>
      </c>
      <c r="F107" s="178" t="s">
        <v>350</v>
      </c>
      <c r="G107" s="178" t="s">
        <v>350</v>
      </c>
      <c r="H107" s="178" t="s">
        <v>350</v>
      </c>
      <c r="I107" s="178" t="s">
        <v>350</v>
      </c>
      <c r="J107" s="178" t="s">
        <v>350</v>
      </c>
      <c r="K107" s="178" t="s">
        <v>350</v>
      </c>
      <c r="L107" s="178" t="s">
        <v>350</v>
      </c>
      <c r="M107" s="178" t="s">
        <v>350</v>
      </c>
      <c r="N107" s="178" t="s">
        <v>350</v>
      </c>
      <c r="O107" s="178" t="s">
        <v>350</v>
      </c>
      <c r="P107" s="178" t="s">
        <v>350</v>
      </c>
      <c r="Q107" s="178" t="s">
        <v>350</v>
      </c>
      <c r="R107" s="178" t="s">
        <v>350</v>
      </c>
      <c r="S107" s="178" t="s">
        <v>350</v>
      </c>
      <c r="T107" s="178" t="s">
        <v>350</v>
      </c>
      <c r="U107" s="178" t="s">
        <v>350</v>
      </c>
      <c r="V107" s="178" t="s">
        <v>350</v>
      </c>
      <c r="W107" s="178" t="s">
        <v>350</v>
      </c>
      <c r="X107" s="178" t="s">
        <v>350</v>
      </c>
      <c r="Y107" s="178" t="s">
        <v>350</v>
      </c>
      <c r="Z107" s="178" t="s">
        <v>350</v>
      </c>
      <c r="AA107" s="178" t="s">
        <v>350</v>
      </c>
      <c r="AB107" s="178" t="s">
        <v>350</v>
      </c>
      <c r="AC107" s="178" t="s">
        <v>350</v>
      </c>
      <c r="AD107" s="178" t="s">
        <v>350</v>
      </c>
      <c r="AE107" s="178" t="s">
        <v>350</v>
      </c>
      <c r="AF107" s="178" t="s">
        <v>350</v>
      </c>
      <c r="AG107" s="178" t="s">
        <v>350</v>
      </c>
      <c r="AH107" s="178" t="s">
        <v>350</v>
      </c>
      <c r="AI107" s="178" t="s">
        <v>350</v>
      </c>
      <c r="AJ107" s="178" t="s">
        <v>350</v>
      </c>
      <c r="AK107" s="178" t="s">
        <v>350</v>
      </c>
      <c r="AL107" s="178" t="s">
        <v>350</v>
      </c>
      <c r="AM107" s="178" t="s">
        <v>350</v>
      </c>
      <c r="AN107" s="178" t="s">
        <v>350</v>
      </c>
      <c r="AO107" s="178" t="s">
        <v>350</v>
      </c>
      <c r="AP107" s="178" t="s">
        <v>350</v>
      </c>
      <c r="AQ107" s="178" t="s">
        <v>350</v>
      </c>
      <c r="AR107" s="178" t="s">
        <v>350</v>
      </c>
      <c r="AS107" s="106"/>
      <c r="AT107" s="106"/>
      <c r="AU107" s="176" t="s">
        <v>388</v>
      </c>
      <c r="AV107" s="158"/>
      <c r="AW107" s="127"/>
    </row>
    <row r="108" spans="1:49" s="100" customFormat="1" ht="96">
      <c r="A108" s="136" t="s">
        <v>329</v>
      </c>
      <c r="B108" s="153" t="s">
        <v>346</v>
      </c>
      <c r="C108" s="151" t="s">
        <v>337</v>
      </c>
      <c r="D108" s="160" t="s">
        <v>371</v>
      </c>
      <c r="E108" s="169" t="s">
        <v>330</v>
      </c>
      <c r="F108" s="178" t="s">
        <v>350</v>
      </c>
      <c r="G108" s="178" t="s">
        <v>350</v>
      </c>
      <c r="H108" s="178" t="s">
        <v>350</v>
      </c>
      <c r="I108" s="178" t="s">
        <v>350</v>
      </c>
      <c r="J108" s="178" t="s">
        <v>350</v>
      </c>
      <c r="K108" s="178" t="s">
        <v>350</v>
      </c>
      <c r="L108" s="178" t="s">
        <v>350</v>
      </c>
      <c r="M108" s="178" t="s">
        <v>350</v>
      </c>
      <c r="N108" s="178" t="s">
        <v>350</v>
      </c>
      <c r="O108" s="178" t="s">
        <v>350</v>
      </c>
      <c r="P108" s="178" t="s">
        <v>350</v>
      </c>
      <c r="Q108" s="178" t="s">
        <v>350</v>
      </c>
      <c r="R108" s="178" t="s">
        <v>350</v>
      </c>
      <c r="S108" s="178" t="s">
        <v>350</v>
      </c>
      <c r="T108" s="178" t="s">
        <v>350</v>
      </c>
      <c r="U108" s="178" t="s">
        <v>350</v>
      </c>
      <c r="V108" s="178" t="s">
        <v>350</v>
      </c>
      <c r="W108" s="178" t="s">
        <v>350</v>
      </c>
      <c r="X108" s="178" t="s">
        <v>350</v>
      </c>
      <c r="Y108" s="178" t="s">
        <v>350</v>
      </c>
      <c r="Z108" s="178" t="s">
        <v>350</v>
      </c>
      <c r="AA108" s="178" t="s">
        <v>350</v>
      </c>
      <c r="AB108" s="178" t="s">
        <v>350</v>
      </c>
      <c r="AC108" s="178" t="s">
        <v>350</v>
      </c>
      <c r="AD108" s="178" t="s">
        <v>350</v>
      </c>
      <c r="AE108" s="178" t="s">
        <v>350</v>
      </c>
      <c r="AF108" s="178" t="s">
        <v>350</v>
      </c>
      <c r="AG108" s="178" t="s">
        <v>350</v>
      </c>
      <c r="AH108" s="178" t="s">
        <v>350</v>
      </c>
      <c r="AI108" s="178" t="s">
        <v>350</v>
      </c>
      <c r="AJ108" s="178" t="s">
        <v>350</v>
      </c>
      <c r="AK108" s="178" t="s">
        <v>350</v>
      </c>
      <c r="AL108" s="178" t="s">
        <v>350</v>
      </c>
      <c r="AM108" s="178" t="s">
        <v>350</v>
      </c>
      <c r="AN108" s="178" t="s">
        <v>350</v>
      </c>
      <c r="AO108" s="178" t="s">
        <v>350</v>
      </c>
      <c r="AP108" s="178" t="s">
        <v>350</v>
      </c>
      <c r="AQ108" s="178" t="s">
        <v>350</v>
      </c>
      <c r="AR108" s="178" t="s">
        <v>350</v>
      </c>
      <c r="AS108" s="106"/>
      <c r="AT108" s="106"/>
      <c r="AU108" s="171" t="s">
        <v>389</v>
      </c>
      <c r="AV108" s="158"/>
      <c r="AW108" s="127"/>
    </row>
    <row r="109" spans="1:49" s="100" customFormat="1" ht="108">
      <c r="A109" s="152" t="s">
        <v>261</v>
      </c>
      <c r="B109" s="154" t="s">
        <v>347</v>
      </c>
      <c r="C109" s="138" t="s">
        <v>335</v>
      </c>
      <c r="D109" s="163">
        <v>4</v>
      </c>
      <c r="E109" s="169" t="s">
        <v>330</v>
      </c>
      <c r="F109" s="178" t="s">
        <v>350</v>
      </c>
      <c r="G109" s="178" t="s">
        <v>350</v>
      </c>
      <c r="H109" s="178" t="s">
        <v>350</v>
      </c>
      <c r="I109" s="178" t="s">
        <v>350</v>
      </c>
      <c r="J109" s="178" t="s">
        <v>350</v>
      </c>
      <c r="K109" s="178" t="s">
        <v>350</v>
      </c>
      <c r="L109" s="178" t="s">
        <v>350</v>
      </c>
      <c r="M109" s="178" t="s">
        <v>350</v>
      </c>
      <c r="N109" s="178" t="s">
        <v>350</v>
      </c>
      <c r="O109" s="178" t="s">
        <v>350</v>
      </c>
      <c r="P109" s="178" t="s">
        <v>350</v>
      </c>
      <c r="Q109" s="178" t="s">
        <v>350</v>
      </c>
      <c r="R109" s="178" t="s">
        <v>350</v>
      </c>
      <c r="S109" s="178" t="s">
        <v>350</v>
      </c>
      <c r="T109" s="178" t="s">
        <v>350</v>
      </c>
      <c r="U109" s="178" t="s">
        <v>350</v>
      </c>
      <c r="V109" s="178" t="s">
        <v>350</v>
      </c>
      <c r="W109" s="178" t="s">
        <v>350</v>
      </c>
      <c r="X109" s="178" t="s">
        <v>350</v>
      </c>
      <c r="Y109" s="178" t="s">
        <v>350</v>
      </c>
      <c r="Z109" s="178" t="s">
        <v>350</v>
      </c>
      <c r="AA109" s="178" t="s">
        <v>350</v>
      </c>
      <c r="AB109" s="178" t="s">
        <v>350</v>
      </c>
      <c r="AC109" s="178" t="s">
        <v>350</v>
      </c>
      <c r="AD109" s="178" t="s">
        <v>350</v>
      </c>
      <c r="AE109" s="178" t="s">
        <v>350</v>
      </c>
      <c r="AF109" s="178" t="s">
        <v>350</v>
      </c>
      <c r="AG109" s="178" t="s">
        <v>350</v>
      </c>
      <c r="AH109" s="178" t="s">
        <v>350</v>
      </c>
      <c r="AI109" s="178" t="s">
        <v>350</v>
      </c>
      <c r="AJ109" s="178" t="s">
        <v>350</v>
      </c>
      <c r="AK109" s="178" t="s">
        <v>350</v>
      </c>
      <c r="AL109" s="178" t="s">
        <v>350</v>
      </c>
      <c r="AM109" s="178" t="s">
        <v>350</v>
      </c>
      <c r="AN109" s="178" t="s">
        <v>350</v>
      </c>
      <c r="AO109" s="178" t="s">
        <v>350</v>
      </c>
      <c r="AP109" s="178" t="s">
        <v>350</v>
      </c>
      <c r="AQ109" s="178" t="s">
        <v>350</v>
      </c>
      <c r="AR109" s="178" t="s">
        <v>350</v>
      </c>
      <c r="AS109" s="106"/>
      <c r="AT109" s="106"/>
      <c r="AU109" s="171" t="s">
        <v>390</v>
      </c>
      <c r="AV109" s="158"/>
      <c r="AW109" s="127"/>
    </row>
    <row r="110" spans="1:49" s="100" customFormat="1" ht="48">
      <c r="A110" s="141" t="s">
        <v>273</v>
      </c>
      <c r="B110" s="155" t="s">
        <v>348</v>
      </c>
      <c r="C110" s="148" t="s">
        <v>338</v>
      </c>
      <c r="D110" s="164">
        <v>5</v>
      </c>
      <c r="E110" s="169" t="s">
        <v>330</v>
      </c>
      <c r="F110" s="178" t="s">
        <v>350</v>
      </c>
      <c r="G110" s="178" t="s">
        <v>350</v>
      </c>
      <c r="H110" s="178" t="s">
        <v>350</v>
      </c>
      <c r="I110" s="178" t="s">
        <v>350</v>
      </c>
      <c r="J110" s="178" t="s">
        <v>350</v>
      </c>
      <c r="K110" s="178" t="s">
        <v>350</v>
      </c>
      <c r="L110" s="178" t="s">
        <v>350</v>
      </c>
      <c r="M110" s="178" t="s">
        <v>350</v>
      </c>
      <c r="N110" s="178" t="s">
        <v>350</v>
      </c>
      <c r="O110" s="178" t="s">
        <v>350</v>
      </c>
      <c r="P110" s="178" t="s">
        <v>350</v>
      </c>
      <c r="Q110" s="178" t="s">
        <v>350</v>
      </c>
      <c r="R110" s="178" t="s">
        <v>350</v>
      </c>
      <c r="S110" s="178" t="s">
        <v>350</v>
      </c>
      <c r="T110" s="178" t="s">
        <v>350</v>
      </c>
      <c r="U110" s="178" t="s">
        <v>350</v>
      </c>
      <c r="V110" s="178" t="s">
        <v>350</v>
      </c>
      <c r="W110" s="178" t="s">
        <v>350</v>
      </c>
      <c r="X110" s="178" t="s">
        <v>350</v>
      </c>
      <c r="Y110" s="178" t="s">
        <v>350</v>
      </c>
      <c r="Z110" s="178" t="s">
        <v>350</v>
      </c>
      <c r="AA110" s="178" t="s">
        <v>350</v>
      </c>
      <c r="AB110" s="178" t="s">
        <v>350</v>
      </c>
      <c r="AC110" s="178" t="s">
        <v>350</v>
      </c>
      <c r="AD110" s="178" t="s">
        <v>350</v>
      </c>
      <c r="AE110" s="178" t="s">
        <v>350</v>
      </c>
      <c r="AF110" s="178" t="s">
        <v>350</v>
      </c>
      <c r="AG110" s="178" t="s">
        <v>350</v>
      </c>
      <c r="AH110" s="178" t="s">
        <v>350</v>
      </c>
      <c r="AI110" s="178" t="s">
        <v>350</v>
      </c>
      <c r="AJ110" s="178" t="s">
        <v>350</v>
      </c>
      <c r="AK110" s="178" t="s">
        <v>350</v>
      </c>
      <c r="AL110" s="178" t="s">
        <v>350</v>
      </c>
      <c r="AM110" s="178" t="s">
        <v>350</v>
      </c>
      <c r="AN110" s="178" t="s">
        <v>350</v>
      </c>
      <c r="AO110" s="178" t="s">
        <v>350</v>
      </c>
      <c r="AP110" s="178" t="s">
        <v>350</v>
      </c>
      <c r="AQ110" s="178" t="s">
        <v>350</v>
      </c>
      <c r="AR110" s="178" t="s">
        <v>350</v>
      </c>
      <c r="AS110" s="106"/>
      <c r="AT110" s="106"/>
      <c r="AU110" s="170" t="s">
        <v>391</v>
      </c>
      <c r="AV110" s="157"/>
      <c r="AW110" s="127"/>
    </row>
    <row r="111" spans="1:49" s="31" customFormat="1" ht="12.75" customHeight="1">
      <c r="A111" s="224" t="s">
        <v>274</v>
      </c>
      <c r="B111" s="322" t="s">
        <v>295</v>
      </c>
      <c r="C111" s="227" t="s">
        <v>319</v>
      </c>
      <c r="D111" s="227" t="s">
        <v>349</v>
      </c>
      <c r="E111" s="107" t="s">
        <v>42</v>
      </c>
      <c r="F111" s="123">
        <f>SUM(F112:F114)</f>
        <v>491.40000000000003</v>
      </c>
      <c r="G111" s="123">
        <f t="shared" ref="G111:G114" si="165">K111+N111+Q111+T111+W111+Z111</f>
        <v>349.8</v>
      </c>
      <c r="H111" s="123">
        <f t="shared" ref="H111" si="166">SUM(H112:H114)</f>
        <v>309.39999999999998</v>
      </c>
      <c r="I111" s="123">
        <f t="shared" ref="I111:I114" si="167">L111+O111+R111+U111</f>
        <v>234.29999999999998</v>
      </c>
      <c r="J111" s="123">
        <f>H111/F111*100</f>
        <v>62.962962962962955</v>
      </c>
      <c r="K111" s="132">
        <f t="shared" ref="K111:AR111" si="168">K112+K113+K114</f>
        <v>0</v>
      </c>
      <c r="L111" s="132">
        <f t="shared" si="168"/>
        <v>0</v>
      </c>
      <c r="M111" s="123">
        <v>0</v>
      </c>
      <c r="N111" s="132">
        <f t="shared" si="168"/>
        <v>0</v>
      </c>
      <c r="O111" s="132">
        <f t="shared" si="168"/>
        <v>0</v>
      </c>
      <c r="P111" s="132">
        <v>0</v>
      </c>
      <c r="Q111" s="132">
        <f t="shared" si="168"/>
        <v>261.2</v>
      </c>
      <c r="R111" s="132">
        <f t="shared" si="168"/>
        <v>250.6</v>
      </c>
      <c r="S111" s="123">
        <f t="shared" ref="S111:S113" si="169">R111/Q111*100</f>
        <v>95.941807044410425</v>
      </c>
      <c r="T111" s="132">
        <f t="shared" si="168"/>
        <v>0</v>
      </c>
      <c r="U111" s="132">
        <f t="shared" si="168"/>
        <v>-16.3</v>
      </c>
      <c r="V111" s="132">
        <f t="shared" si="168"/>
        <v>0</v>
      </c>
      <c r="W111" s="132">
        <f t="shared" si="168"/>
        <v>58.6</v>
      </c>
      <c r="X111" s="132">
        <f t="shared" si="168"/>
        <v>51</v>
      </c>
      <c r="Y111" s="123">
        <f t="shared" ref="Y111" si="170">X111/W111*100</f>
        <v>87.030716723549489</v>
      </c>
      <c r="Z111" s="132">
        <f t="shared" si="168"/>
        <v>30</v>
      </c>
      <c r="AA111" s="132">
        <f t="shared" si="168"/>
        <v>24.1</v>
      </c>
      <c r="AB111" s="132">
        <f t="shared" si="168"/>
        <v>80.333333333333329</v>
      </c>
      <c r="AC111" s="132">
        <f t="shared" si="168"/>
        <v>0</v>
      </c>
      <c r="AD111" s="132">
        <f t="shared" si="168"/>
        <v>0</v>
      </c>
      <c r="AE111" s="132">
        <f t="shared" si="168"/>
        <v>0</v>
      </c>
      <c r="AF111" s="132">
        <f t="shared" si="168"/>
        <v>84</v>
      </c>
      <c r="AG111" s="132">
        <f t="shared" si="168"/>
        <v>0</v>
      </c>
      <c r="AH111" s="132">
        <f t="shared" si="168"/>
        <v>0</v>
      </c>
      <c r="AI111" s="132">
        <f t="shared" si="168"/>
        <v>0</v>
      </c>
      <c r="AJ111" s="132">
        <f t="shared" si="168"/>
        <v>0</v>
      </c>
      <c r="AK111" s="132">
        <f t="shared" si="168"/>
        <v>0</v>
      </c>
      <c r="AL111" s="132">
        <f t="shared" si="168"/>
        <v>0</v>
      </c>
      <c r="AM111" s="132">
        <f t="shared" si="168"/>
        <v>0</v>
      </c>
      <c r="AN111" s="132">
        <f t="shared" si="168"/>
        <v>0</v>
      </c>
      <c r="AO111" s="132">
        <f t="shared" si="168"/>
        <v>57.6</v>
      </c>
      <c r="AP111" s="132">
        <f t="shared" si="168"/>
        <v>0</v>
      </c>
      <c r="AQ111" s="132">
        <f t="shared" si="168"/>
        <v>0</v>
      </c>
      <c r="AR111" s="132">
        <f t="shared" si="168"/>
        <v>0</v>
      </c>
      <c r="AS111" s="104"/>
      <c r="AT111" s="104"/>
      <c r="AU111" s="282" t="s">
        <v>392</v>
      </c>
      <c r="AV111" s="278" t="s">
        <v>375</v>
      </c>
    </row>
    <row r="112" spans="1:49" s="31" customFormat="1" ht="36">
      <c r="A112" s="225"/>
      <c r="B112" s="323"/>
      <c r="C112" s="228"/>
      <c r="D112" s="228"/>
      <c r="E112" s="108" t="s">
        <v>3</v>
      </c>
      <c r="F112" s="123">
        <f>K112+N112+Q112+T112+W112+Z112+AC112+AF112+AI112+AL112+AO112+AR112</f>
        <v>0</v>
      </c>
      <c r="G112" s="123">
        <f t="shared" si="165"/>
        <v>0</v>
      </c>
      <c r="H112" s="123">
        <f>L112+O112+R112+U112+X112+AA112+AD112+AG112+AJ112+AM112+AP112+AS112</f>
        <v>0</v>
      </c>
      <c r="I112" s="123">
        <f t="shared" si="167"/>
        <v>0</v>
      </c>
      <c r="J112" s="123">
        <v>0</v>
      </c>
      <c r="K112" s="123">
        <v>0</v>
      </c>
      <c r="L112" s="123">
        <v>0</v>
      </c>
      <c r="M112" s="123">
        <v>0</v>
      </c>
      <c r="N112" s="179">
        <v>0</v>
      </c>
      <c r="O112" s="123">
        <v>0</v>
      </c>
      <c r="P112" s="156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17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0</v>
      </c>
      <c r="AF112" s="117">
        <v>0</v>
      </c>
      <c r="AG112" s="117">
        <v>0</v>
      </c>
      <c r="AH112" s="117">
        <v>0</v>
      </c>
      <c r="AI112" s="117">
        <v>0</v>
      </c>
      <c r="AJ112" s="117">
        <v>0</v>
      </c>
      <c r="AK112" s="117">
        <v>0</v>
      </c>
      <c r="AL112" s="123">
        <v>0</v>
      </c>
      <c r="AM112" s="123">
        <v>0</v>
      </c>
      <c r="AN112" s="123">
        <v>0</v>
      </c>
      <c r="AO112" s="117">
        <v>0</v>
      </c>
      <c r="AP112" s="117">
        <v>0</v>
      </c>
      <c r="AQ112" s="117">
        <v>0</v>
      </c>
      <c r="AR112" s="123">
        <v>0</v>
      </c>
      <c r="AS112" s="104"/>
      <c r="AT112" s="104"/>
      <c r="AU112" s="283"/>
      <c r="AV112" s="279"/>
    </row>
    <row r="113" spans="1:49" s="31" customFormat="1" ht="24">
      <c r="A113" s="225"/>
      <c r="B113" s="323"/>
      <c r="C113" s="228"/>
      <c r="D113" s="228"/>
      <c r="E113" s="108" t="s">
        <v>44</v>
      </c>
      <c r="F113" s="123">
        <f t="shared" ref="F113:F114" si="171">K113+N113+Q113+T113+W113+Z113+AC113+AF113+AI113+AL113+AO113+AR113</f>
        <v>491.40000000000003</v>
      </c>
      <c r="G113" s="123">
        <f t="shared" si="165"/>
        <v>349.8</v>
      </c>
      <c r="H113" s="123">
        <f t="shared" ref="H113:H114" si="172">L113+O113+R113+U113+X113+AA113+AD113+AG113+AJ113+AM113+AP113+AS113</f>
        <v>309.39999999999998</v>
      </c>
      <c r="I113" s="123">
        <f t="shared" si="167"/>
        <v>234.29999999999998</v>
      </c>
      <c r="J113" s="123">
        <f>H113/F113*100</f>
        <v>62.962962962962955</v>
      </c>
      <c r="K113" s="123">
        <v>0</v>
      </c>
      <c r="L113" s="123">
        <v>0</v>
      </c>
      <c r="M113" s="123">
        <v>0</v>
      </c>
      <c r="N113" s="179">
        <v>0</v>
      </c>
      <c r="O113" s="123">
        <v>0</v>
      </c>
      <c r="P113" s="156">
        <v>0</v>
      </c>
      <c r="Q113" s="123">
        <v>261.2</v>
      </c>
      <c r="R113" s="123">
        <v>250.6</v>
      </c>
      <c r="S113" s="123">
        <f t="shared" si="169"/>
        <v>95.941807044410425</v>
      </c>
      <c r="T113" s="123">
        <v>0</v>
      </c>
      <c r="U113" s="123">
        <v>-16.3</v>
      </c>
      <c r="V113" s="123">
        <v>0</v>
      </c>
      <c r="W113" s="117">
        <v>58.6</v>
      </c>
      <c r="X113" s="117">
        <v>51</v>
      </c>
      <c r="Y113" s="123">
        <f t="shared" ref="Y113" si="173">X113/W113*100</f>
        <v>87.030716723549489</v>
      </c>
      <c r="Z113" s="117">
        <v>30</v>
      </c>
      <c r="AA113" s="117">
        <v>24.1</v>
      </c>
      <c r="AB113" s="117">
        <f>AA113/Z113*100</f>
        <v>80.333333333333329</v>
      </c>
      <c r="AC113" s="117">
        <v>0</v>
      </c>
      <c r="AD113" s="117">
        <v>0</v>
      </c>
      <c r="AE113" s="117">
        <v>0</v>
      </c>
      <c r="AF113" s="117">
        <v>84</v>
      </c>
      <c r="AG113" s="117">
        <v>0</v>
      </c>
      <c r="AH113" s="117">
        <v>0</v>
      </c>
      <c r="AI113" s="117">
        <v>0</v>
      </c>
      <c r="AJ113" s="117">
        <v>0</v>
      </c>
      <c r="AK113" s="117">
        <v>0</v>
      </c>
      <c r="AL113" s="123">
        <v>0</v>
      </c>
      <c r="AM113" s="123">
        <v>0</v>
      </c>
      <c r="AN113" s="123">
        <v>0</v>
      </c>
      <c r="AO113" s="117">
        <v>57.6</v>
      </c>
      <c r="AP113" s="117">
        <v>0</v>
      </c>
      <c r="AQ113" s="117">
        <v>0</v>
      </c>
      <c r="AR113" s="123">
        <v>0</v>
      </c>
      <c r="AS113" s="104"/>
      <c r="AT113" s="104"/>
      <c r="AU113" s="283"/>
      <c r="AV113" s="279"/>
    </row>
    <row r="114" spans="1:49" s="31" customFormat="1" ht="24">
      <c r="A114" s="226"/>
      <c r="B114" s="324"/>
      <c r="C114" s="229"/>
      <c r="D114" s="229"/>
      <c r="E114" s="109" t="s">
        <v>275</v>
      </c>
      <c r="F114" s="123">
        <f t="shared" si="171"/>
        <v>0</v>
      </c>
      <c r="G114" s="123">
        <f t="shared" si="165"/>
        <v>0</v>
      </c>
      <c r="H114" s="123">
        <f t="shared" si="172"/>
        <v>0</v>
      </c>
      <c r="I114" s="123">
        <f t="shared" si="167"/>
        <v>0</v>
      </c>
      <c r="J114" s="123">
        <v>0</v>
      </c>
      <c r="K114" s="123">
        <v>0</v>
      </c>
      <c r="L114" s="123">
        <v>0</v>
      </c>
      <c r="M114" s="123">
        <v>0</v>
      </c>
      <c r="N114" s="179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0</v>
      </c>
      <c r="AF114" s="117">
        <v>0</v>
      </c>
      <c r="AG114" s="117">
        <v>0</v>
      </c>
      <c r="AH114" s="117">
        <v>0</v>
      </c>
      <c r="AI114" s="117">
        <v>0</v>
      </c>
      <c r="AJ114" s="117">
        <v>0</v>
      </c>
      <c r="AK114" s="117">
        <v>0</v>
      </c>
      <c r="AL114" s="123">
        <v>0</v>
      </c>
      <c r="AM114" s="123">
        <v>0</v>
      </c>
      <c r="AN114" s="123">
        <v>0</v>
      </c>
      <c r="AO114" s="117">
        <v>0</v>
      </c>
      <c r="AP114" s="117">
        <v>0</v>
      </c>
      <c r="AQ114" s="117">
        <v>0</v>
      </c>
      <c r="AR114" s="123">
        <v>0</v>
      </c>
      <c r="AS114" s="104"/>
      <c r="AT114" s="104"/>
      <c r="AU114" s="284"/>
      <c r="AV114" s="280"/>
    </row>
    <row r="115" spans="1:49" s="31" customFormat="1" ht="24.75" customHeight="1">
      <c r="A115" s="288" t="s">
        <v>422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90"/>
    </row>
    <row r="116" spans="1:49" s="31" customFormat="1" ht="24.75" customHeight="1">
      <c r="A116" s="288" t="s">
        <v>420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90"/>
    </row>
    <row r="117" spans="1:49" s="100" customFormat="1" ht="12.75" customHeight="1">
      <c r="A117" s="303" t="s">
        <v>320</v>
      </c>
      <c r="B117" s="304"/>
      <c r="C117" s="304"/>
      <c r="D117" s="305"/>
      <c r="E117" s="129" t="s">
        <v>42</v>
      </c>
      <c r="F117" s="106">
        <f>F118+F119+F120</f>
        <v>11411</v>
      </c>
      <c r="G117" s="106">
        <f>K117+N117+Q117+T117+W117+Z117</f>
        <v>5819</v>
      </c>
      <c r="H117" s="106">
        <f t="shared" ref="H117:AR117" si="174">H118+H119+H120</f>
        <v>5448.7999999999993</v>
      </c>
      <c r="I117" s="106">
        <f>L117+O117+R117+U117</f>
        <v>3892.4</v>
      </c>
      <c r="J117" s="106">
        <f>H117/F117*100</f>
        <v>47.750416265007445</v>
      </c>
      <c r="K117" s="106">
        <f t="shared" si="174"/>
        <v>0</v>
      </c>
      <c r="L117" s="106">
        <f t="shared" si="174"/>
        <v>0</v>
      </c>
      <c r="M117" s="106">
        <v>0</v>
      </c>
      <c r="N117" s="106">
        <f t="shared" si="174"/>
        <v>2583</v>
      </c>
      <c r="O117" s="106">
        <f t="shared" si="174"/>
        <v>2345.6</v>
      </c>
      <c r="P117" s="106">
        <f t="shared" si="174"/>
        <v>136.34715484851077</v>
      </c>
      <c r="Q117" s="106">
        <f t="shared" si="174"/>
        <v>587.69999999999993</v>
      </c>
      <c r="R117" s="106">
        <f t="shared" si="174"/>
        <v>531.5</v>
      </c>
      <c r="S117" s="106">
        <f>R117/Q117*100</f>
        <v>90.437297941126431</v>
      </c>
      <c r="T117" s="106">
        <f t="shared" si="174"/>
        <v>903.6</v>
      </c>
      <c r="U117" s="106">
        <f t="shared" si="174"/>
        <v>1015.3000000000001</v>
      </c>
      <c r="V117" s="106">
        <f>U117/T117*100</f>
        <v>112.36166445329792</v>
      </c>
      <c r="W117" s="106">
        <f t="shared" si="174"/>
        <v>823.8</v>
      </c>
      <c r="X117" s="106">
        <f t="shared" si="174"/>
        <v>743.90000000000009</v>
      </c>
      <c r="Y117" s="106">
        <f t="shared" si="174"/>
        <v>176.58365556971017</v>
      </c>
      <c r="Z117" s="106">
        <f t="shared" si="174"/>
        <v>920.90000000000009</v>
      </c>
      <c r="AA117" s="106">
        <f t="shared" si="174"/>
        <v>812.5</v>
      </c>
      <c r="AB117" s="106">
        <f t="shared" si="174"/>
        <v>86.691337719298247</v>
      </c>
      <c r="AC117" s="106">
        <f t="shared" si="174"/>
        <v>705.59999999999991</v>
      </c>
      <c r="AD117" s="106">
        <f t="shared" si="174"/>
        <v>0</v>
      </c>
      <c r="AE117" s="106">
        <f t="shared" si="174"/>
        <v>0</v>
      </c>
      <c r="AF117" s="106">
        <f t="shared" si="174"/>
        <v>911.69999999999993</v>
      </c>
      <c r="AG117" s="106">
        <f t="shared" si="174"/>
        <v>0</v>
      </c>
      <c r="AH117" s="106">
        <f t="shared" si="174"/>
        <v>0</v>
      </c>
      <c r="AI117" s="106">
        <f t="shared" si="174"/>
        <v>581.79999999999995</v>
      </c>
      <c r="AJ117" s="106">
        <f t="shared" si="174"/>
        <v>0</v>
      </c>
      <c r="AK117" s="106">
        <f t="shared" si="174"/>
        <v>0</v>
      </c>
      <c r="AL117" s="106">
        <f t="shared" si="174"/>
        <v>811</v>
      </c>
      <c r="AM117" s="106">
        <f t="shared" si="174"/>
        <v>0</v>
      </c>
      <c r="AN117" s="106">
        <f t="shared" si="174"/>
        <v>0</v>
      </c>
      <c r="AO117" s="106">
        <f t="shared" si="174"/>
        <v>657.9</v>
      </c>
      <c r="AP117" s="106">
        <f t="shared" si="174"/>
        <v>0</v>
      </c>
      <c r="AQ117" s="106">
        <f t="shared" si="174"/>
        <v>0</v>
      </c>
      <c r="AR117" s="106">
        <f t="shared" si="174"/>
        <v>1924</v>
      </c>
      <c r="AS117" s="106">
        <f>AS148+AS156</f>
        <v>0</v>
      </c>
      <c r="AT117" s="106">
        <f>AT148+AT156</f>
        <v>0</v>
      </c>
      <c r="AU117" s="243"/>
      <c r="AV117" s="247"/>
      <c r="AW117" s="127"/>
    </row>
    <row r="118" spans="1:49" s="100" customFormat="1" ht="36">
      <c r="A118" s="306"/>
      <c r="B118" s="307"/>
      <c r="C118" s="307"/>
      <c r="D118" s="308"/>
      <c r="E118" s="111" t="s">
        <v>3</v>
      </c>
      <c r="F118" s="106">
        <f>F126+F130+F134</f>
        <v>0</v>
      </c>
      <c r="G118" s="106">
        <f t="shared" ref="G118:G120" si="175">K118+N118+Q118+T118+W118+Z118</f>
        <v>0</v>
      </c>
      <c r="H118" s="106">
        <f t="shared" ref="H118:AT120" si="176">H126+H130+H134</f>
        <v>0</v>
      </c>
      <c r="I118" s="106">
        <f t="shared" ref="I118:I120" si="177">L118+O118+R118+U118</f>
        <v>0</v>
      </c>
      <c r="J118" s="106">
        <v>0</v>
      </c>
      <c r="K118" s="106">
        <f t="shared" si="176"/>
        <v>0</v>
      </c>
      <c r="L118" s="106">
        <f t="shared" si="176"/>
        <v>0</v>
      </c>
      <c r="M118" s="106">
        <v>0</v>
      </c>
      <c r="N118" s="106">
        <f t="shared" si="176"/>
        <v>0</v>
      </c>
      <c r="O118" s="106">
        <f t="shared" si="176"/>
        <v>0</v>
      </c>
      <c r="P118" s="106">
        <f t="shared" si="176"/>
        <v>0</v>
      </c>
      <c r="Q118" s="106">
        <f t="shared" si="176"/>
        <v>0</v>
      </c>
      <c r="R118" s="106">
        <f t="shared" si="176"/>
        <v>0</v>
      </c>
      <c r="S118" s="106">
        <v>0</v>
      </c>
      <c r="T118" s="106">
        <f t="shared" si="176"/>
        <v>0</v>
      </c>
      <c r="U118" s="106">
        <f t="shared" si="176"/>
        <v>0</v>
      </c>
      <c r="V118" s="106">
        <v>0</v>
      </c>
      <c r="W118" s="106">
        <f t="shared" si="176"/>
        <v>0</v>
      </c>
      <c r="X118" s="106">
        <f t="shared" si="176"/>
        <v>0</v>
      </c>
      <c r="Y118" s="106">
        <f t="shared" si="176"/>
        <v>0</v>
      </c>
      <c r="Z118" s="106">
        <f t="shared" si="176"/>
        <v>0</v>
      </c>
      <c r="AA118" s="106">
        <f t="shared" si="176"/>
        <v>0</v>
      </c>
      <c r="AB118" s="106">
        <f t="shared" si="176"/>
        <v>0</v>
      </c>
      <c r="AC118" s="106">
        <f t="shared" si="176"/>
        <v>0</v>
      </c>
      <c r="AD118" s="106">
        <f t="shared" si="176"/>
        <v>0</v>
      </c>
      <c r="AE118" s="106">
        <f t="shared" si="176"/>
        <v>0</v>
      </c>
      <c r="AF118" s="106">
        <f t="shared" si="176"/>
        <v>0</v>
      </c>
      <c r="AG118" s="106">
        <f t="shared" si="176"/>
        <v>0</v>
      </c>
      <c r="AH118" s="106">
        <f t="shared" si="176"/>
        <v>0</v>
      </c>
      <c r="AI118" s="106">
        <f t="shared" si="176"/>
        <v>0</v>
      </c>
      <c r="AJ118" s="106">
        <f t="shared" si="176"/>
        <v>0</v>
      </c>
      <c r="AK118" s="106">
        <f t="shared" si="176"/>
        <v>0</v>
      </c>
      <c r="AL118" s="106">
        <f t="shared" si="176"/>
        <v>0</v>
      </c>
      <c r="AM118" s="106">
        <f t="shared" si="176"/>
        <v>0</v>
      </c>
      <c r="AN118" s="106">
        <f t="shared" si="176"/>
        <v>0</v>
      </c>
      <c r="AO118" s="106">
        <f t="shared" si="176"/>
        <v>0</v>
      </c>
      <c r="AP118" s="106">
        <f t="shared" si="176"/>
        <v>0</v>
      </c>
      <c r="AQ118" s="106">
        <f t="shared" si="176"/>
        <v>0</v>
      </c>
      <c r="AR118" s="106">
        <f t="shared" si="176"/>
        <v>0</v>
      </c>
      <c r="AS118" s="106">
        <f t="shared" si="176"/>
        <v>0</v>
      </c>
      <c r="AT118" s="106">
        <f t="shared" si="176"/>
        <v>0</v>
      </c>
      <c r="AU118" s="244"/>
      <c r="AV118" s="248"/>
      <c r="AW118" s="127"/>
    </row>
    <row r="119" spans="1:49" s="100" customFormat="1" ht="24">
      <c r="A119" s="306"/>
      <c r="B119" s="307"/>
      <c r="C119" s="307"/>
      <c r="D119" s="308"/>
      <c r="E119" s="111" t="s">
        <v>44</v>
      </c>
      <c r="F119" s="106">
        <f>F127+F131+F135</f>
        <v>11411</v>
      </c>
      <c r="G119" s="106">
        <f t="shared" si="175"/>
        <v>5819</v>
      </c>
      <c r="H119" s="106">
        <f t="shared" si="176"/>
        <v>5448.7999999999993</v>
      </c>
      <c r="I119" s="106">
        <f t="shared" si="177"/>
        <v>3892.4</v>
      </c>
      <c r="J119" s="106">
        <f t="shared" ref="J119" si="178">H119/F119*100</f>
        <v>47.750416265007445</v>
      </c>
      <c r="K119" s="106">
        <f t="shared" si="176"/>
        <v>0</v>
      </c>
      <c r="L119" s="106">
        <f t="shared" si="176"/>
        <v>0</v>
      </c>
      <c r="M119" s="106">
        <v>0</v>
      </c>
      <c r="N119" s="106">
        <f t="shared" si="176"/>
        <v>2583</v>
      </c>
      <c r="O119" s="106">
        <f t="shared" si="176"/>
        <v>2345.6</v>
      </c>
      <c r="P119" s="106">
        <f t="shared" si="176"/>
        <v>136.34715484851077</v>
      </c>
      <c r="Q119" s="106">
        <f t="shared" si="176"/>
        <v>587.69999999999993</v>
      </c>
      <c r="R119" s="106">
        <f t="shared" si="176"/>
        <v>531.5</v>
      </c>
      <c r="S119" s="106">
        <f t="shared" ref="S119" si="179">R119/Q119*100</f>
        <v>90.437297941126431</v>
      </c>
      <c r="T119" s="106">
        <f t="shared" si="176"/>
        <v>903.6</v>
      </c>
      <c r="U119" s="106">
        <f t="shared" si="176"/>
        <v>1015.3000000000001</v>
      </c>
      <c r="V119" s="106">
        <f t="shared" ref="V119" si="180">U119/T119*100</f>
        <v>112.36166445329792</v>
      </c>
      <c r="W119" s="106">
        <f t="shared" si="176"/>
        <v>823.8</v>
      </c>
      <c r="X119" s="106">
        <f t="shared" si="176"/>
        <v>743.90000000000009</v>
      </c>
      <c r="Y119" s="106">
        <f t="shared" si="176"/>
        <v>176.58365556971017</v>
      </c>
      <c r="Z119" s="106">
        <f t="shared" si="176"/>
        <v>920.90000000000009</v>
      </c>
      <c r="AA119" s="106">
        <f t="shared" si="176"/>
        <v>812.5</v>
      </c>
      <c r="AB119" s="106">
        <f t="shared" si="176"/>
        <v>86.691337719298247</v>
      </c>
      <c r="AC119" s="106">
        <f t="shared" si="176"/>
        <v>705.59999999999991</v>
      </c>
      <c r="AD119" s="106">
        <f t="shared" si="176"/>
        <v>0</v>
      </c>
      <c r="AE119" s="106">
        <f t="shared" si="176"/>
        <v>0</v>
      </c>
      <c r="AF119" s="106">
        <f t="shared" si="176"/>
        <v>911.69999999999993</v>
      </c>
      <c r="AG119" s="106">
        <f t="shared" si="176"/>
        <v>0</v>
      </c>
      <c r="AH119" s="106">
        <f t="shared" si="176"/>
        <v>0</v>
      </c>
      <c r="AI119" s="106">
        <f t="shared" si="176"/>
        <v>581.79999999999995</v>
      </c>
      <c r="AJ119" s="106">
        <f t="shared" si="176"/>
        <v>0</v>
      </c>
      <c r="AK119" s="106">
        <f t="shared" si="176"/>
        <v>0</v>
      </c>
      <c r="AL119" s="106">
        <f t="shared" si="176"/>
        <v>811</v>
      </c>
      <c r="AM119" s="106">
        <f t="shared" si="176"/>
        <v>0</v>
      </c>
      <c r="AN119" s="106">
        <f t="shared" si="176"/>
        <v>0</v>
      </c>
      <c r="AO119" s="106">
        <f t="shared" si="176"/>
        <v>657.9</v>
      </c>
      <c r="AP119" s="106">
        <f t="shared" si="176"/>
        <v>0</v>
      </c>
      <c r="AQ119" s="106">
        <f t="shared" si="176"/>
        <v>0</v>
      </c>
      <c r="AR119" s="106">
        <f t="shared" si="176"/>
        <v>1924</v>
      </c>
      <c r="AS119" s="106">
        <f t="shared" si="176"/>
        <v>0</v>
      </c>
      <c r="AT119" s="106">
        <f t="shared" si="176"/>
        <v>0</v>
      </c>
      <c r="AU119" s="244"/>
      <c r="AV119" s="248"/>
      <c r="AW119" s="127"/>
    </row>
    <row r="120" spans="1:49" s="100" customFormat="1" ht="24">
      <c r="A120" s="309"/>
      <c r="B120" s="310"/>
      <c r="C120" s="310"/>
      <c r="D120" s="311"/>
      <c r="E120" s="110" t="s">
        <v>275</v>
      </c>
      <c r="F120" s="106">
        <f>F128+F132+F136</f>
        <v>0</v>
      </c>
      <c r="G120" s="106">
        <f t="shared" si="175"/>
        <v>0</v>
      </c>
      <c r="H120" s="106">
        <f t="shared" si="176"/>
        <v>0</v>
      </c>
      <c r="I120" s="106">
        <f t="shared" si="177"/>
        <v>0</v>
      </c>
      <c r="J120" s="106">
        <v>0</v>
      </c>
      <c r="K120" s="106">
        <f t="shared" si="176"/>
        <v>0</v>
      </c>
      <c r="L120" s="106">
        <f t="shared" si="176"/>
        <v>0</v>
      </c>
      <c r="M120" s="106">
        <v>0</v>
      </c>
      <c r="N120" s="106">
        <f t="shared" si="176"/>
        <v>0</v>
      </c>
      <c r="O120" s="106">
        <f t="shared" si="176"/>
        <v>0</v>
      </c>
      <c r="P120" s="106">
        <f t="shared" si="176"/>
        <v>0</v>
      </c>
      <c r="Q120" s="106">
        <f t="shared" si="176"/>
        <v>0</v>
      </c>
      <c r="R120" s="106">
        <f t="shared" si="176"/>
        <v>0</v>
      </c>
      <c r="S120" s="106">
        <v>0</v>
      </c>
      <c r="T120" s="106">
        <f t="shared" si="176"/>
        <v>0</v>
      </c>
      <c r="U120" s="106">
        <f t="shared" si="176"/>
        <v>0</v>
      </c>
      <c r="V120" s="106">
        <v>0</v>
      </c>
      <c r="W120" s="106">
        <f t="shared" si="176"/>
        <v>0</v>
      </c>
      <c r="X120" s="106">
        <f t="shared" si="176"/>
        <v>0</v>
      </c>
      <c r="Y120" s="106">
        <f t="shared" si="176"/>
        <v>0</v>
      </c>
      <c r="Z120" s="106">
        <f t="shared" si="176"/>
        <v>0</v>
      </c>
      <c r="AA120" s="106">
        <f t="shared" si="176"/>
        <v>0</v>
      </c>
      <c r="AB120" s="106">
        <f t="shared" si="176"/>
        <v>0</v>
      </c>
      <c r="AC120" s="106">
        <f t="shared" si="176"/>
        <v>0</v>
      </c>
      <c r="AD120" s="106">
        <f t="shared" si="176"/>
        <v>0</v>
      </c>
      <c r="AE120" s="106">
        <f t="shared" si="176"/>
        <v>0</v>
      </c>
      <c r="AF120" s="106">
        <f t="shared" si="176"/>
        <v>0</v>
      </c>
      <c r="AG120" s="106">
        <f t="shared" si="176"/>
        <v>0</v>
      </c>
      <c r="AH120" s="106">
        <f t="shared" si="176"/>
        <v>0</v>
      </c>
      <c r="AI120" s="106">
        <f t="shared" si="176"/>
        <v>0</v>
      </c>
      <c r="AJ120" s="106">
        <f t="shared" si="176"/>
        <v>0</v>
      </c>
      <c r="AK120" s="106">
        <f t="shared" si="176"/>
        <v>0</v>
      </c>
      <c r="AL120" s="106">
        <f t="shared" si="176"/>
        <v>0</v>
      </c>
      <c r="AM120" s="106">
        <f t="shared" si="176"/>
        <v>0</v>
      </c>
      <c r="AN120" s="106">
        <f t="shared" si="176"/>
        <v>0</v>
      </c>
      <c r="AO120" s="106">
        <f t="shared" si="176"/>
        <v>0</v>
      </c>
      <c r="AP120" s="106">
        <f t="shared" si="176"/>
        <v>0</v>
      </c>
      <c r="AQ120" s="106">
        <f t="shared" si="176"/>
        <v>0</v>
      </c>
      <c r="AR120" s="106">
        <f t="shared" si="176"/>
        <v>0</v>
      </c>
      <c r="AS120" s="106">
        <f t="shared" si="176"/>
        <v>0</v>
      </c>
      <c r="AT120" s="106">
        <f t="shared" si="176"/>
        <v>0</v>
      </c>
      <c r="AU120" s="245"/>
      <c r="AV120" s="249"/>
      <c r="AW120" s="127"/>
    </row>
    <row r="121" spans="1:49" s="100" customFormat="1" ht="156">
      <c r="A121" s="136" t="s">
        <v>328</v>
      </c>
      <c r="B121" s="150" t="s">
        <v>351</v>
      </c>
      <c r="C121" s="151" t="s">
        <v>339</v>
      </c>
      <c r="D121" s="151" t="s">
        <v>342</v>
      </c>
      <c r="E121" s="168" t="s">
        <v>330</v>
      </c>
      <c r="F121" s="178" t="s">
        <v>350</v>
      </c>
      <c r="G121" s="178" t="s">
        <v>350</v>
      </c>
      <c r="H121" s="178" t="s">
        <v>350</v>
      </c>
      <c r="I121" s="178" t="s">
        <v>350</v>
      </c>
      <c r="J121" s="178" t="s">
        <v>350</v>
      </c>
      <c r="K121" s="178" t="s">
        <v>350</v>
      </c>
      <c r="L121" s="178" t="s">
        <v>350</v>
      </c>
      <c r="M121" s="178" t="s">
        <v>350</v>
      </c>
      <c r="N121" s="178" t="s">
        <v>350</v>
      </c>
      <c r="O121" s="178" t="s">
        <v>350</v>
      </c>
      <c r="P121" s="178" t="s">
        <v>350</v>
      </c>
      <c r="Q121" s="178" t="s">
        <v>350</v>
      </c>
      <c r="R121" s="178" t="s">
        <v>350</v>
      </c>
      <c r="S121" s="178" t="s">
        <v>350</v>
      </c>
      <c r="T121" s="178" t="s">
        <v>350</v>
      </c>
      <c r="U121" s="178" t="s">
        <v>350</v>
      </c>
      <c r="V121" s="178" t="s">
        <v>350</v>
      </c>
      <c r="W121" s="178" t="s">
        <v>350</v>
      </c>
      <c r="X121" s="178" t="s">
        <v>350</v>
      </c>
      <c r="Y121" s="178" t="s">
        <v>350</v>
      </c>
      <c r="Z121" s="178" t="s">
        <v>350</v>
      </c>
      <c r="AA121" s="178" t="s">
        <v>350</v>
      </c>
      <c r="AB121" s="178" t="s">
        <v>350</v>
      </c>
      <c r="AC121" s="178" t="s">
        <v>350</v>
      </c>
      <c r="AD121" s="178" t="s">
        <v>350</v>
      </c>
      <c r="AE121" s="178" t="s">
        <v>350</v>
      </c>
      <c r="AF121" s="178" t="s">
        <v>350</v>
      </c>
      <c r="AG121" s="178" t="s">
        <v>350</v>
      </c>
      <c r="AH121" s="178" t="s">
        <v>350</v>
      </c>
      <c r="AI121" s="178" t="s">
        <v>350</v>
      </c>
      <c r="AJ121" s="178" t="s">
        <v>350</v>
      </c>
      <c r="AK121" s="178" t="s">
        <v>350</v>
      </c>
      <c r="AL121" s="178" t="s">
        <v>350</v>
      </c>
      <c r="AM121" s="178" t="s">
        <v>350</v>
      </c>
      <c r="AN121" s="178" t="s">
        <v>350</v>
      </c>
      <c r="AO121" s="178" t="s">
        <v>350</v>
      </c>
      <c r="AP121" s="178" t="s">
        <v>350</v>
      </c>
      <c r="AQ121" s="178" t="s">
        <v>350</v>
      </c>
      <c r="AR121" s="178" t="s">
        <v>350</v>
      </c>
      <c r="AS121" s="106"/>
      <c r="AT121" s="106"/>
      <c r="AU121" s="172" t="s">
        <v>398</v>
      </c>
      <c r="AV121" s="137"/>
      <c r="AW121" s="127"/>
    </row>
    <row r="122" spans="1:49" s="100" customFormat="1" ht="120">
      <c r="A122" s="136" t="s">
        <v>259</v>
      </c>
      <c r="B122" s="150" t="s">
        <v>352</v>
      </c>
      <c r="C122" s="151" t="s">
        <v>339</v>
      </c>
      <c r="D122" s="160" t="s">
        <v>371</v>
      </c>
      <c r="E122" s="168" t="s">
        <v>330</v>
      </c>
      <c r="F122" s="178" t="s">
        <v>350</v>
      </c>
      <c r="G122" s="178" t="s">
        <v>350</v>
      </c>
      <c r="H122" s="178" t="s">
        <v>350</v>
      </c>
      <c r="I122" s="178" t="s">
        <v>350</v>
      </c>
      <c r="J122" s="178" t="s">
        <v>350</v>
      </c>
      <c r="K122" s="178" t="s">
        <v>350</v>
      </c>
      <c r="L122" s="178" t="s">
        <v>350</v>
      </c>
      <c r="M122" s="178" t="s">
        <v>350</v>
      </c>
      <c r="N122" s="178" t="s">
        <v>350</v>
      </c>
      <c r="O122" s="178" t="s">
        <v>350</v>
      </c>
      <c r="P122" s="178" t="s">
        <v>350</v>
      </c>
      <c r="Q122" s="178" t="s">
        <v>350</v>
      </c>
      <c r="R122" s="178" t="s">
        <v>350</v>
      </c>
      <c r="S122" s="178" t="s">
        <v>350</v>
      </c>
      <c r="T122" s="178" t="s">
        <v>350</v>
      </c>
      <c r="U122" s="178" t="s">
        <v>350</v>
      </c>
      <c r="V122" s="178" t="s">
        <v>350</v>
      </c>
      <c r="W122" s="178" t="s">
        <v>350</v>
      </c>
      <c r="X122" s="178" t="s">
        <v>350</v>
      </c>
      <c r="Y122" s="178" t="s">
        <v>350</v>
      </c>
      <c r="Z122" s="178" t="s">
        <v>350</v>
      </c>
      <c r="AA122" s="178" t="s">
        <v>350</v>
      </c>
      <c r="AB122" s="178" t="s">
        <v>350</v>
      </c>
      <c r="AC122" s="178" t="s">
        <v>350</v>
      </c>
      <c r="AD122" s="178" t="s">
        <v>350</v>
      </c>
      <c r="AE122" s="178" t="s">
        <v>350</v>
      </c>
      <c r="AF122" s="178" t="s">
        <v>350</v>
      </c>
      <c r="AG122" s="178" t="s">
        <v>350</v>
      </c>
      <c r="AH122" s="178" t="s">
        <v>350</v>
      </c>
      <c r="AI122" s="178" t="s">
        <v>350</v>
      </c>
      <c r="AJ122" s="178" t="s">
        <v>350</v>
      </c>
      <c r="AK122" s="178" t="s">
        <v>350</v>
      </c>
      <c r="AL122" s="178" t="s">
        <v>350</v>
      </c>
      <c r="AM122" s="178" t="s">
        <v>350</v>
      </c>
      <c r="AN122" s="178" t="s">
        <v>350</v>
      </c>
      <c r="AO122" s="178" t="s">
        <v>350</v>
      </c>
      <c r="AP122" s="178" t="s">
        <v>350</v>
      </c>
      <c r="AQ122" s="178" t="s">
        <v>350</v>
      </c>
      <c r="AR122" s="178" t="s">
        <v>350</v>
      </c>
      <c r="AS122" s="106"/>
      <c r="AT122" s="106"/>
      <c r="AU122" s="172" t="s">
        <v>397</v>
      </c>
      <c r="AV122" s="137"/>
      <c r="AW122" s="127"/>
    </row>
    <row r="123" spans="1:49" s="100" customFormat="1" ht="193.5" customHeight="1">
      <c r="A123" s="136" t="s">
        <v>329</v>
      </c>
      <c r="B123" s="150" t="s">
        <v>353</v>
      </c>
      <c r="C123" s="151" t="s">
        <v>339</v>
      </c>
      <c r="D123" s="160" t="s">
        <v>371</v>
      </c>
      <c r="E123" s="168" t="s">
        <v>330</v>
      </c>
      <c r="F123" s="178" t="s">
        <v>350</v>
      </c>
      <c r="G123" s="178" t="s">
        <v>350</v>
      </c>
      <c r="H123" s="178" t="s">
        <v>350</v>
      </c>
      <c r="I123" s="178" t="s">
        <v>350</v>
      </c>
      <c r="J123" s="178" t="s">
        <v>350</v>
      </c>
      <c r="K123" s="178" t="s">
        <v>350</v>
      </c>
      <c r="L123" s="178" t="s">
        <v>350</v>
      </c>
      <c r="M123" s="178" t="s">
        <v>350</v>
      </c>
      <c r="N123" s="178" t="s">
        <v>350</v>
      </c>
      <c r="O123" s="178" t="s">
        <v>350</v>
      </c>
      <c r="P123" s="178" t="s">
        <v>350</v>
      </c>
      <c r="Q123" s="178" t="s">
        <v>350</v>
      </c>
      <c r="R123" s="178" t="s">
        <v>350</v>
      </c>
      <c r="S123" s="178" t="s">
        <v>350</v>
      </c>
      <c r="T123" s="178" t="s">
        <v>350</v>
      </c>
      <c r="U123" s="178" t="s">
        <v>350</v>
      </c>
      <c r="V123" s="178" t="s">
        <v>350</v>
      </c>
      <c r="W123" s="178" t="s">
        <v>350</v>
      </c>
      <c r="X123" s="178" t="s">
        <v>350</v>
      </c>
      <c r="Y123" s="178" t="s">
        <v>350</v>
      </c>
      <c r="Z123" s="178" t="s">
        <v>350</v>
      </c>
      <c r="AA123" s="178" t="s">
        <v>350</v>
      </c>
      <c r="AB123" s="178" t="s">
        <v>350</v>
      </c>
      <c r="AC123" s="178" t="s">
        <v>350</v>
      </c>
      <c r="AD123" s="178" t="s">
        <v>350</v>
      </c>
      <c r="AE123" s="178" t="s">
        <v>350</v>
      </c>
      <c r="AF123" s="178" t="s">
        <v>350</v>
      </c>
      <c r="AG123" s="178" t="s">
        <v>350</v>
      </c>
      <c r="AH123" s="178" t="s">
        <v>350</v>
      </c>
      <c r="AI123" s="178" t="s">
        <v>350</v>
      </c>
      <c r="AJ123" s="178" t="s">
        <v>350</v>
      </c>
      <c r="AK123" s="178" t="s">
        <v>350</v>
      </c>
      <c r="AL123" s="178" t="s">
        <v>350</v>
      </c>
      <c r="AM123" s="178" t="s">
        <v>350</v>
      </c>
      <c r="AN123" s="178" t="s">
        <v>350</v>
      </c>
      <c r="AO123" s="178" t="s">
        <v>350</v>
      </c>
      <c r="AP123" s="178" t="s">
        <v>350</v>
      </c>
      <c r="AQ123" s="178" t="s">
        <v>350</v>
      </c>
      <c r="AR123" s="178" t="s">
        <v>350</v>
      </c>
      <c r="AS123" s="106"/>
      <c r="AT123" s="106"/>
      <c r="AU123" s="172" t="s">
        <v>399</v>
      </c>
      <c r="AV123" s="137"/>
      <c r="AW123" s="127"/>
    </row>
    <row r="124" spans="1:49" s="100" customFormat="1" ht="383.25" customHeight="1">
      <c r="A124" s="159" t="s">
        <v>261</v>
      </c>
      <c r="B124" s="150" t="s">
        <v>354</v>
      </c>
      <c r="C124" s="151" t="s">
        <v>339</v>
      </c>
      <c r="D124" s="151">
        <v>3</v>
      </c>
      <c r="E124" s="168" t="s">
        <v>330</v>
      </c>
      <c r="F124" s="178" t="s">
        <v>350</v>
      </c>
      <c r="G124" s="178" t="s">
        <v>350</v>
      </c>
      <c r="H124" s="178" t="s">
        <v>350</v>
      </c>
      <c r="I124" s="178" t="s">
        <v>350</v>
      </c>
      <c r="J124" s="178" t="s">
        <v>350</v>
      </c>
      <c r="K124" s="178" t="s">
        <v>350</v>
      </c>
      <c r="L124" s="178" t="s">
        <v>350</v>
      </c>
      <c r="M124" s="178" t="s">
        <v>350</v>
      </c>
      <c r="N124" s="178" t="s">
        <v>350</v>
      </c>
      <c r="O124" s="178" t="s">
        <v>350</v>
      </c>
      <c r="P124" s="178" t="s">
        <v>350</v>
      </c>
      <c r="Q124" s="178" t="s">
        <v>350</v>
      </c>
      <c r="R124" s="178" t="s">
        <v>350</v>
      </c>
      <c r="S124" s="178" t="s">
        <v>350</v>
      </c>
      <c r="T124" s="178" t="s">
        <v>350</v>
      </c>
      <c r="U124" s="178" t="s">
        <v>350</v>
      </c>
      <c r="V124" s="178" t="s">
        <v>350</v>
      </c>
      <c r="W124" s="178" t="s">
        <v>350</v>
      </c>
      <c r="X124" s="178" t="s">
        <v>350</v>
      </c>
      <c r="Y124" s="178" t="s">
        <v>350</v>
      </c>
      <c r="Z124" s="178" t="s">
        <v>350</v>
      </c>
      <c r="AA124" s="178" t="s">
        <v>350</v>
      </c>
      <c r="AB124" s="178" t="s">
        <v>350</v>
      </c>
      <c r="AC124" s="178" t="s">
        <v>350</v>
      </c>
      <c r="AD124" s="178" t="s">
        <v>350</v>
      </c>
      <c r="AE124" s="178" t="s">
        <v>350</v>
      </c>
      <c r="AF124" s="178" t="s">
        <v>350</v>
      </c>
      <c r="AG124" s="178" t="s">
        <v>350</v>
      </c>
      <c r="AH124" s="178" t="s">
        <v>350</v>
      </c>
      <c r="AI124" s="178" t="s">
        <v>350</v>
      </c>
      <c r="AJ124" s="178" t="s">
        <v>350</v>
      </c>
      <c r="AK124" s="178" t="s">
        <v>350</v>
      </c>
      <c r="AL124" s="178" t="s">
        <v>350</v>
      </c>
      <c r="AM124" s="178" t="s">
        <v>350</v>
      </c>
      <c r="AN124" s="178" t="s">
        <v>350</v>
      </c>
      <c r="AO124" s="178" t="s">
        <v>350</v>
      </c>
      <c r="AP124" s="178" t="s">
        <v>350</v>
      </c>
      <c r="AQ124" s="178" t="s">
        <v>350</v>
      </c>
      <c r="AR124" s="178" t="s">
        <v>350</v>
      </c>
      <c r="AS124" s="106"/>
      <c r="AT124" s="106"/>
      <c r="AU124" s="177" t="s">
        <v>400</v>
      </c>
      <c r="AV124" s="146"/>
      <c r="AW124" s="127"/>
    </row>
    <row r="125" spans="1:49" s="31" customFormat="1" ht="12.75" customHeight="1">
      <c r="A125" s="312" t="s">
        <v>273</v>
      </c>
      <c r="B125" s="223" t="s">
        <v>276</v>
      </c>
      <c r="C125" s="227" t="s">
        <v>321</v>
      </c>
      <c r="D125" s="227" t="s">
        <v>343</v>
      </c>
      <c r="E125" s="107" t="s">
        <v>42</v>
      </c>
      <c r="F125" s="123">
        <f>SUM(F126:F128)</f>
        <v>2524.9</v>
      </c>
      <c r="G125" s="123">
        <f t="shared" ref="G125:G136" si="181">K125+N125+Q125+T125+W125+Z125</f>
        <v>808.40000000000009</v>
      </c>
      <c r="H125" s="123">
        <f t="shared" ref="H125" si="182">SUM(H126:H128)</f>
        <v>618.90000000000009</v>
      </c>
      <c r="I125" s="123">
        <f t="shared" ref="I125:I136" si="183">L125+O125+R125+U125</f>
        <v>180.3</v>
      </c>
      <c r="J125" s="123">
        <f>H125/F125*100</f>
        <v>24.511861855915086</v>
      </c>
      <c r="K125" s="156">
        <f t="shared" ref="K125:AR125" si="184">K126+K127+K128</f>
        <v>0</v>
      </c>
      <c r="L125" s="156">
        <f t="shared" si="184"/>
        <v>0</v>
      </c>
      <c r="M125" s="123">
        <v>0</v>
      </c>
      <c r="N125" s="156">
        <f t="shared" si="184"/>
        <v>122.8</v>
      </c>
      <c r="O125" s="132">
        <f t="shared" si="184"/>
        <v>53</v>
      </c>
      <c r="P125" s="132">
        <f>O125/N125*100</f>
        <v>43.159609120521175</v>
      </c>
      <c r="Q125" s="132">
        <f t="shared" si="184"/>
        <v>61.3</v>
      </c>
      <c r="R125" s="132">
        <f t="shared" si="184"/>
        <v>53.1</v>
      </c>
      <c r="S125" s="123">
        <f t="shared" ref="S125:S135" si="185">R125/Q125*100</f>
        <v>86.623164763458405</v>
      </c>
      <c r="T125" s="132">
        <f t="shared" si="184"/>
        <v>101.4</v>
      </c>
      <c r="U125" s="132">
        <f t="shared" si="184"/>
        <v>74.2</v>
      </c>
      <c r="V125" s="132">
        <f>U125/T125*100</f>
        <v>73.175542406311635</v>
      </c>
      <c r="W125" s="156">
        <f t="shared" si="184"/>
        <v>331.6</v>
      </c>
      <c r="X125" s="156">
        <f t="shared" si="184"/>
        <v>258.60000000000002</v>
      </c>
      <c r="Y125" s="132">
        <f t="shared" ref="Y125" si="186">X125/W125*100</f>
        <v>77.985524728588658</v>
      </c>
      <c r="Z125" s="132">
        <f t="shared" si="184"/>
        <v>191.3</v>
      </c>
      <c r="AA125" s="132">
        <f t="shared" si="184"/>
        <v>180</v>
      </c>
      <c r="AB125" s="132">
        <f t="shared" si="184"/>
        <v>0</v>
      </c>
      <c r="AC125" s="132">
        <f t="shared" si="184"/>
        <v>61.3</v>
      </c>
      <c r="AD125" s="132">
        <f t="shared" si="184"/>
        <v>0</v>
      </c>
      <c r="AE125" s="132">
        <f t="shared" si="184"/>
        <v>0</v>
      </c>
      <c r="AF125" s="132">
        <f t="shared" si="184"/>
        <v>331.4</v>
      </c>
      <c r="AG125" s="156">
        <f t="shared" si="184"/>
        <v>0</v>
      </c>
      <c r="AH125" s="156">
        <f t="shared" si="184"/>
        <v>0</v>
      </c>
      <c r="AI125" s="156">
        <f t="shared" si="184"/>
        <v>426.4</v>
      </c>
      <c r="AJ125" s="156">
        <f t="shared" si="184"/>
        <v>0</v>
      </c>
      <c r="AK125" s="156">
        <f t="shared" si="184"/>
        <v>0</v>
      </c>
      <c r="AL125" s="156">
        <f t="shared" si="184"/>
        <v>218.4</v>
      </c>
      <c r="AM125" s="156">
        <f t="shared" si="184"/>
        <v>0</v>
      </c>
      <c r="AN125" s="156">
        <f t="shared" si="184"/>
        <v>0</v>
      </c>
      <c r="AO125" s="156">
        <f t="shared" si="184"/>
        <v>339.5</v>
      </c>
      <c r="AP125" s="156">
        <f t="shared" si="184"/>
        <v>0</v>
      </c>
      <c r="AQ125" s="156">
        <f t="shared" si="184"/>
        <v>0</v>
      </c>
      <c r="AR125" s="156">
        <f t="shared" si="184"/>
        <v>339.5</v>
      </c>
      <c r="AS125" s="104"/>
      <c r="AT125" s="104"/>
      <c r="AU125" s="282" t="s">
        <v>401</v>
      </c>
      <c r="AV125" s="278" t="s">
        <v>402</v>
      </c>
    </row>
    <row r="126" spans="1:49" s="31" customFormat="1" ht="36">
      <c r="A126" s="312"/>
      <c r="B126" s="223"/>
      <c r="C126" s="228"/>
      <c r="D126" s="228"/>
      <c r="E126" s="108" t="s">
        <v>3</v>
      </c>
      <c r="F126" s="123">
        <f>K126+N126+Q126+T126+W126+Z126+AC126+AF126+AI126+AL126+AO126+AR126</f>
        <v>0</v>
      </c>
      <c r="G126" s="123">
        <f t="shared" si="181"/>
        <v>0</v>
      </c>
      <c r="H126" s="123">
        <f>L126+O126+R126+U126+X126+AA126+AD126+AG126+AJ126+AM126+AP126+AS126</f>
        <v>0</v>
      </c>
      <c r="I126" s="123">
        <f t="shared" si="183"/>
        <v>0</v>
      </c>
      <c r="J126" s="123">
        <v>0</v>
      </c>
      <c r="K126" s="123">
        <v>0</v>
      </c>
      <c r="L126" s="123">
        <v>0</v>
      </c>
      <c r="M126" s="123">
        <v>0</v>
      </c>
      <c r="N126" s="179">
        <v>0</v>
      </c>
      <c r="O126" s="123">
        <v>0</v>
      </c>
      <c r="P126" s="156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32">
        <v>0</v>
      </c>
      <c r="W126" s="117">
        <v>0</v>
      </c>
      <c r="X126" s="117">
        <v>0</v>
      </c>
      <c r="Y126" s="117">
        <v>0</v>
      </c>
      <c r="Z126" s="117">
        <v>0</v>
      </c>
      <c r="AA126" s="117">
        <v>0</v>
      </c>
      <c r="AB126" s="117">
        <v>0</v>
      </c>
      <c r="AC126" s="117">
        <v>0</v>
      </c>
      <c r="AD126" s="117">
        <v>0</v>
      </c>
      <c r="AE126" s="117">
        <v>0</v>
      </c>
      <c r="AF126" s="117">
        <v>0</v>
      </c>
      <c r="AG126" s="117">
        <v>0</v>
      </c>
      <c r="AH126" s="117">
        <v>0</v>
      </c>
      <c r="AI126" s="117">
        <v>0</v>
      </c>
      <c r="AJ126" s="117">
        <v>0</v>
      </c>
      <c r="AK126" s="117">
        <v>0</v>
      </c>
      <c r="AL126" s="123">
        <v>0</v>
      </c>
      <c r="AM126" s="123">
        <v>0</v>
      </c>
      <c r="AN126" s="123">
        <v>0</v>
      </c>
      <c r="AO126" s="117">
        <v>0</v>
      </c>
      <c r="AP126" s="117">
        <v>0</v>
      </c>
      <c r="AQ126" s="117">
        <v>0</v>
      </c>
      <c r="AR126" s="123">
        <v>0</v>
      </c>
      <c r="AS126" s="104"/>
      <c r="AT126" s="104"/>
      <c r="AU126" s="283"/>
      <c r="AV126" s="279"/>
    </row>
    <row r="127" spans="1:49" s="31" customFormat="1" ht="24">
      <c r="A127" s="312"/>
      <c r="B127" s="223"/>
      <c r="C127" s="228"/>
      <c r="D127" s="228"/>
      <c r="E127" s="108" t="s">
        <v>44</v>
      </c>
      <c r="F127" s="123">
        <f t="shared" ref="F127:F128" si="187">K127+N127+Q127+T127+W127+Z127+AC127+AF127+AI127+AL127+AO127+AR127</f>
        <v>2524.9</v>
      </c>
      <c r="G127" s="123">
        <f t="shared" si="181"/>
        <v>808.40000000000009</v>
      </c>
      <c r="H127" s="123">
        <f t="shared" ref="H127:H128" si="188">L127+O127+R127+U127+X127+AA127+AD127+AG127+AJ127+AM127+AP127+AS127</f>
        <v>618.90000000000009</v>
      </c>
      <c r="I127" s="123">
        <f t="shared" si="183"/>
        <v>180.3</v>
      </c>
      <c r="J127" s="123">
        <f>H127/F127*100</f>
        <v>24.511861855915086</v>
      </c>
      <c r="K127" s="123">
        <v>0</v>
      </c>
      <c r="L127" s="123">
        <v>0</v>
      </c>
      <c r="M127" s="123">
        <v>0</v>
      </c>
      <c r="N127" s="179">
        <f>61.4*2</f>
        <v>122.8</v>
      </c>
      <c r="O127" s="123">
        <v>53</v>
      </c>
      <c r="P127" s="156">
        <f t="shared" ref="P127" si="189">O127/N127*100</f>
        <v>43.159609120521175</v>
      </c>
      <c r="Q127" s="123">
        <v>61.3</v>
      </c>
      <c r="R127" s="123">
        <v>53.1</v>
      </c>
      <c r="S127" s="123">
        <f t="shared" si="185"/>
        <v>86.623164763458405</v>
      </c>
      <c r="T127" s="123">
        <v>101.4</v>
      </c>
      <c r="U127" s="123">
        <v>74.2</v>
      </c>
      <c r="V127" s="132">
        <f t="shared" ref="V127:V135" si="190">U127/T127*100</f>
        <v>73.175542406311635</v>
      </c>
      <c r="W127" s="117">
        <v>331.6</v>
      </c>
      <c r="X127" s="117">
        <v>258.60000000000002</v>
      </c>
      <c r="Y127" s="132">
        <f t="shared" ref="Y127" si="191">X127/W127*100</f>
        <v>77.985524728588658</v>
      </c>
      <c r="Z127" s="117">
        <v>191.3</v>
      </c>
      <c r="AA127" s="117">
        <v>180</v>
      </c>
      <c r="AB127" s="117">
        <v>0</v>
      </c>
      <c r="AC127" s="117">
        <v>61.3</v>
      </c>
      <c r="AD127" s="117">
        <v>0</v>
      </c>
      <c r="AE127" s="117">
        <v>0</v>
      </c>
      <c r="AF127" s="117">
        <v>331.4</v>
      </c>
      <c r="AG127" s="117">
        <v>0</v>
      </c>
      <c r="AH127" s="117">
        <v>0</v>
      </c>
      <c r="AI127" s="117">
        <v>426.4</v>
      </c>
      <c r="AJ127" s="117">
        <v>0</v>
      </c>
      <c r="AK127" s="117">
        <v>0</v>
      </c>
      <c r="AL127" s="123">
        <v>218.4</v>
      </c>
      <c r="AM127" s="123">
        <v>0</v>
      </c>
      <c r="AN127" s="123">
        <v>0</v>
      </c>
      <c r="AO127" s="117">
        <v>339.5</v>
      </c>
      <c r="AP127" s="117">
        <v>0</v>
      </c>
      <c r="AQ127" s="117">
        <v>0</v>
      </c>
      <c r="AR127" s="123">
        <v>339.5</v>
      </c>
      <c r="AS127" s="104"/>
      <c r="AT127" s="104"/>
      <c r="AU127" s="283"/>
      <c r="AV127" s="279"/>
    </row>
    <row r="128" spans="1:49" s="31" customFormat="1" ht="24">
      <c r="A128" s="312"/>
      <c r="B128" s="223"/>
      <c r="C128" s="229"/>
      <c r="D128" s="229"/>
      <c r="E128" s="109" t="s">
        <v>275</v>
      </c>
      <c r="F128" s="123">
        <f t="shared" si="187"/>
        <v>0</v>
      </c>
      <c r="G128" s="123">
        <f t="shared" si="181"/>
        <v>0</v>
      </c>
      <c r="H128" s="123">
        <f t="shared" si="188"/>
        <v>0</v>
      </c>
      <c r="I128" s="123">
        <f t="shared" si="183"/>
        <v>0</v>
      </c>
      <c r="J128" s="123">
        <v>0</v>
      </c>
      <c r="K128" s="123">
        <v>0</v>
      </c>
      <c r="L128" s="123">
        <v>0</v>
      </c>
      <c r="M128" s="123">
        <v>0</v>
      </c>
      <c r="N128" s="179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32">
        <v>0</v>
      </c>
      <c r="W128" s="117">
        <v>0</v>
      </c>
      <c r="X128" s="117">
        <v>0</v>
      </c>
      <c r="Y128" s="117">
        <v>0</v>
      </c>
      <c r="Z128" s="117">
        <v>0</v>
      </c>
      <c r="AA128" s="117">
        <v>0</v>
      </c>
      <c r="AB128" s="117">
        <v>0</v>
      </c>
      <c r="AC128" s="117">
        <v>0</v>
      </c>
      <c r="AD128" s="117">
        <v>0</v>
      </c>
      <c r="AE128" s="117">
        <v>0</v>
      </c>
      <c r="AF128" s="117">
        <v>0</v>
      </c>
      <c r="AG128" s="117">
        <v>0</v>
      </c>
      <c r="AH128" s="117">
        <v>0</v>
      </c>
      <c r="AI128" s="117">
        <v>0</v>
      </c>
      <c r="AJ128" s="117">
        <v>0</v>
      </c>
      <c r="AK128" s="117">
        <v>0</v>
      </c>
      <c r="AL128" s="123">
        <v>0</v>
      </c>
      <c r="AM128" s="123">
        <v>0</v>
      </c>
      <c r="AN128" s="123">
        <v>0</v>
      </c>
      <c r="AO128" s="117">
        <v>0</v>
      </c>
      <c r="AP128" s="117">
        <v>0</v>
      </c>
      <c r="AQ128" s="117">
        <v>0</v>
      </c>
      <c r="AR128" s="123">
        <v>0</v>
      </c>
      <c r="AS128" s="104"/>
      <c r="AT128" s="104"/>
      <c r="AU128" s="284"/>
      <c r="AV128" s="280"/>
    </row>
    <row r="129" spans="1:50" s="31" customFormat="1" ht="12.75">
      <c r="A129" s="312" t="s">
        <v>274</v>
      </c>
      <c r="B129" s="223" t="s">
        <v>277</v>
      </c>
      <c r="C129" s="227" t="s">
        <v>321</v>
      </c>
      <c r="D129" s="227" t="s">
        <v>371</v>
      </c>
      <c r="E129" s="107" t="s">
        <v>42</v>
      </c>
      <c r="F129" s="123">
        <f>SUM(F130:F132)</f>
        <v>475.2</v>
      </c>
      <c r="G129" s="123">
        <f t="shared" si="181"/>
        <v>0</v>
      </c>
      <c r="H129" s="123">
        <f t="shared" ref="H129" si="192">SUM(H130:H132)</f>
        <v>0</v>
      </c>
      <c r="I129" s="123">
        <f t="shared" si="183"/>
        <v>0</v>
      </c>
      <c r="J129" s="123">
        <f>H129/F129*100</f>
        <v>0</v>
      </c>
      <c r="K129" s="156">
        <f t="shared" ref="K129:AR129" si="193">K130+K131+K132</f>
        <v>0</v>
      </c>
      <c r="L129" s="156">
        <f t="shared" si="193"/>
        <v>0</v>
      </c>
      <c r="M129" s="123">
        <v>0</v>
      </c>
      <c r="N129" s="156">
        <f t="shared" si="193"/>
        <v>0</v>
      </c>
      <c r="O129" s="132">
        <f t="shared" si="193"/>
        <v>0</v>
      </c>
      <c r="P129" s="132">
        <v>0</v>
      </c>
      <c r="Q129" s="132">
        <f t="shared" si="193"/>
        <v>0</v>
      </c>
      <c r="R129" s="132">
        <f t="shared" si="193"/>
        <v>0</v>
      </c>
      <c r="S129" s="123">
        <v>0</v>
      </c>
      <c r="T129" s="132">
        <f t="shared" si="193"/>
        <v>0</v>
      </c>
      <c r="U129" s="132">
        <f t="shared" si="193"/>
        <v>0</v>
      </c>
      <c r="V129" s="132">
        <v>0</v>
      </c>
      <c r="W129" s="132">
        <f t="shared" si="193"/>
        <v>0</v>
      </c>
      <c r="X129" s="132">
        <f t="shared" si="193"/>
        <v>0</v>
      </c>
      <c r="Y129" s="132">
        <f t="shared" si="193"/>
        <v>0</v>
      </c>
      <c r="Z129" s="132">
        <f t="shared" si="193"/>
        <v>0</v>
      </c>
      <c r="AA129" s="132">
        <f t="shared" si="193"/>
        <v>0</v>
      </c>
      <c r="AB129" s="156">
        <f t="shared" si="193"/>
        <v>0</v>
      </c>
      <c r="AC129" s="156">
        <f t="shared" si="193"/>
        <v>0</v>
      </c>
      <c r="AD129" s="156">
        <f t="shared" si="193"/>
        <v>0</v>
      </c>
      <c r="AE129" s="156">
        <f t="shared" si="193"/>
        <v>0</v>
      </c>
      <c r="AF129" s="132">
        <f t="shared" si="193"/>
        <v>0</v>
      </c>
      <c r="AG129" s="132">
        <f t="shared" si="193"/>
        <v>0</v>
      </c>
      <c r="AH129" s="132">
        <f t="shared" si="193"/>
        <v>0</v>
      </c>
      <c r="AI129" s="132">
        <f t="shared" si="193"/>
        <v>0</v>
      </c>
      <c r="AJ129" s="132">
        <f t="shared" si="193"/>
        <v>0</v>
      </c>
      <c r="AK129" s="132">
        <f t="shared" si="193"/>
        <v>0</v>
      </c>
      <c r="AL129" s="132">
        <f t="shared" si="193"/>
        <v>475.2</v>
      </c>
      <c r="AM129" s="132">
        <f t="shared" si="193"/>
        <v>0</v>
      </c>
      <c r="AN129" s="132">
        <f t="shared" si="193"/>
        <v>0</v>
      </c>
      <c r="AO129" s="132">
        <f t="shared" si="193"/>
        <v>0</v>
      </c>
      <c r="AP129" s="132">
        <f t="shared" si="193"/>
        <v>0</v>
      </c>
      <c r="AQ129" s="132">
        <f t="shared" si="193"/>
        <v>0</v>
      </c>
      <c r="AR129" s="132">
        <f t="shared" si="193"/>
        <v>0</v>
      </c>
      <c r="AS129" s="104"/>
      <c r="AT129" s="104"/>
      <c r="AU129" s="313" t="s">
        <v>356</v>
      </c>
      <c r="AV129" s="251"/>
    </row>
    <row r="130" spans="1:50" s="31" customFormat="1" ht="36">
      <c r="A130" s="312"/>
      <c r="B130" s="223"/>
      <c r="C130" s="228"/>
      <c r="D130" s="228"/>
      <c r="E130" s="108" t="s">
        <v>3</v>
      </c>
      <c r="F130" s="123">
        <f>K130+N130+Q130+T130+W130+Z130+AC130+AF130+AI130+AL130+AO130+AR130</f>
        <v>0</v>
      </c>
      <c r="G130" s="123">
        <f t="shared" si="181"/>
        <v>0</v>
      </c>
      <c r="H130" s="123">
        <f>L130+O130+R130+U130+X130+AA130+AD130+AG130+AJ130+AM130+AP130+AS130</f>
        <v>0</v>
      </c>
      <c r="I130" s="123">
        <f t="shared" si="183"/>
        <v>0</v>
      </c>
      <c r="J130" s="123">
        <v>0</v>
      </c>
      <c r="K130" s="123">
        <v>0</v>
      </c>
      <c r="L130" s="123">
        <v>0</v>
      </c>
      <c r="M130" s="123">
        <v>0</v>
      </c>
      <c r="N130" s="179">
        <v>0</v>
      </c>
      <c r="O130" s="123">
        <v>0</v>
      </c>
      <c r="P130" s="156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56">
        <v>0</v>
      </c>
      <c r="W130" s="117">
        <v>0</v>
      </c>
      <c r="X130" s="117">
        <v>0</v>
      </c>
      <c r="Y130" s="117">
        <v>0</v>
      </c>
      <c r="Z130" s="117">
        <v>0</v>
      </c>
      <c r="AA130" s="117">
        <v>0</v>
      </c>
      <c r="AB130" s="117">
        <v>0</v>
      </c>
      <c r="AC130" s="117">
        <v>0</v>
      </c>
      <c r="AD130" s="117">
        <v>0</v>
      </c>
      <c r="AE130" s="117">
        <v>0</v>
      </c>
      <c r="AF130" s="117">
        <v>0</v>
      </c>
      <c r="AG130" s="117">
        <v>0</v>
      </c>
      <c r="AH130" s="117">
        <v>0</v>
      </c>
      <c r="AI130" s="117">
        <v>0</v>
      </c>
      <c r="AJ130" s="117">
        <v>0</v>
      </c>
      <c r="AK130" s="117">
        <v>0</v>
      </c>
      <c r="AL130" s="123">
        <v>0</v>
      </c>
      <c r="AM130" s="123">
        <v>0</v>
      </c>
      <c r="AN130" s="123">
        <v>0</v>
      </c>
      <c r="AO130" s="117">
        <v>0</v>
      </c>
      <c r="AP130" s="117">
        <v>0</v>
      </c>
      <c r="AQ130" s="117">
        <v>0</v>
      </c>
      <c r="AR130" s="123">
        <v>0</v>
      </c>
      <c r="AS130" s="104"/>
      <c r="AT130" s="104"/>
      <c r="AU130" s="314"/>
      <c r="AV130" s="252"/>
    </row>
    <row r="131" spans="1:50" s="31" customFormat="1" ht="24">
      <c r="A131" s="312"/>
      <c r="B131" s="223"/>
      <c r="C131" s="228"/>
      <c r="D131" s="228"/>
      <c r="E131" s="108" t="s">
        <v>44</v>
      </c>
      <c r="F131" s="123">
        <f t="shared" ref="F131:F132" si="194">K131+N131+Q131+T131+W131+Z131+AC131+AF131+AI131+AL131+AO131+AR131</f>
        <v>475.2</v>
      </c>
      <c r="G131" s="123">
        <f t="shared" si="181"/>
        <v>0</v>
      </c>
      <c r="H131" s="123">
        <f t="shared" ref="H131:H132" si="195">L131+O131+R131+U131+X131+AA131+AD131+AG131+AJ131+AM131+AP131+AS131</f>
        <v>0</v>
      </c>
      <c r="I131" s="123">
        <f t="shared" si="183"/>
        <v>0</v>
      </c>
      <c r="J131" s="123">
        <f>H131/F131*100</f>
        <v>0</v>
      </c>
      <c r="K131" s="123">
        <v>0</v>
      </c>
      <c r="L131" s="123">
        <v>0</v>
      </c>
      <c r="M131" s="123">
        <v>0</v>
      </c>
      <c r="N131" s="179">
        <v>0</v>
      </c>
      <c r="O131" s="123">
        <v>0</v>
      </c>
      <c r="P131" s="156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56">
        <v>0</v>
      </c>
      <c r="W131" s="117">
        <v>0</v>
      </c>
      <c r="X131" s="117">
        <v>0</v>
      </c>
      <c r="Y131" s="117">
        <v>0</v>
      </c>
      <c r="Z131" s="117">
        <v>0</v>
      </c>
      <c r="AA131" s="117">
        <v>0</v>
      </c>
      <c r="AB131" s="117">
        <v>0</v>
      </c>
      <c r="AC131" s="117">
        <v>0</v>
      </c>
      <c r="AD131" s="117">
        <v>0</v>
      </c>
      <c r="AE131" s="117">
        <v>0</v>
      </c>
      <c r="AF131" s="117">
        <v>0</v>
      </c>
      <c r="AG131" s="117">
        <v>0</v>
      </c>
      <c r="AH131" s="117">
        <v>0</v>
      </c>
      <c r="AI131" s="117">
        <v>0</v>
      </c>
      <c r="AJ131" s="117">
        <v>0</v>
      </c>
      <c r="AK131" s="117">
        <v>0</v>
      </c>
      <c r="AL131" s="123">
        <v>475.2</v>
      </c>
      <c r="AM131" s="123">
        <v>0</v>
      </c>
      <c r="AN131" s="123">
        <v>0</v>
      </c>
      <c r="AO131" s="117">
        <v>0</v>
      </c>
      <c r="AP131" s="117">
        <v>0</v>
      </c>
      <c r="AQ131" s="117">
        <v>0</v>
      </c>
      <c r="AR131" s="123">
        <v>0</v>
      </c>
      <c r="AS131" s="104"/>
      <c r="AT131" s="104"/>
      <c r="AU131" s="314"/>
      <c r="AV131" s="252"/>
    </row>
    <row r="132" spans="1:50" s="31" customFormat="1" ht="24">
      <c r="A132" s="312"/>
      <c r="B132" s="223"/>
      <c r="C132" s="229"/>
      <c r="D132" s="229"/>
      <c r="E132" s="109" t="s">
        <v>275</v>
      </c>
      <c r="F132" s="123">
        <f t="shared" si="194"/>
        <v>0</v>
      </c>
      <c r="G132" s="123">
        <f t="shared" si="181"/>
        <v>0</v>
      </c>
      <c r="H132" s="123">
        <f t="shared" si="195"/>
        <v>0</v>
      </c>
      <c r="I132" s="123">
        <f t="shared" si="183"/>
        <v>0</v>
      </c>
      <c r="J132" s="123">
        <v>0</v>
      </c>
      <c r="K132" s="123">
        <v>0</v>
      </c>
      <c r="L132" s="123">
        <v>0</v>
      </c>
      <c r="M132" s="123">
        <v>0</v>
      </c>
      <c r="N132" s="179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56">
        <v>0</v>
      </c>
      <c r="W132" s="117">
        <v>0</v>
      </c>
      <c r="X132" s="117">
        <v>0</v>
      </c>
      <c r="Y132" s="117">
        <v>0</v>
      </c>
      <c r="Z132" s="117">
        <v>0</v>
      </c>
      <c r="AA132" s="117">
        <v>0</v>
      </c>
      <c r="AB132" s="117">
        <v>0</v>
      </c>
      <c r="AC132" s="117">
        <v>0</v>
      </c>
      <c r="AD132" s="117">
        <v>0</v>
      </c>
      <c r="AE132" s="117">
        <v>0</v>
      </c>
      <c r="AF132" s="117">
        <v>0</v>
      </c>
      <c r="AG132" s="117">
        <v>0</v>
      </c>
      <c r="AH132" s="117">
        <v>0</v>
      </c>
      <c r="AI132" s="117">
        <v>0</v>
      </c>
      <c r="AJ132" s="117">
        <v>0</v>
      </c>
      <c r="AK132" s="117">
        <v>0</v>
      </c>
      <c r="AL132" s="123">
        <v>0</v>
      </c>
      <c r="AM132" s="123">
        <v>0</v>
      </c>
      <c r="AN132" s="123">
        <v>0</v>
      </c>
      <c r="AO132" s="117">
        <v>0</v>
      </c>
      <c r="AP132" s="117">
        <v>0</v>
      </c>
      <c r="AQ132" s="117">
        <v>0</v>
      </c>
      <c r="AR132" s="123">
        <v>0</v>
      </c>
      <c r="AS132" s="104"/>
      <c r="AT132" s="104"/>
      <c r="AU132" s="315"/>
      <c r="AV132" s="253"/>
    </row>
    <row r="133" spans="1:50" s="31" customFormat="1" ht="12.75">
      <c r="A133" s="312" t="s">
        <v>283</v>
      </c>
      <c r="B133" s="223" t="s">
        <v>278</v>
      </c>
      <c r="C133" s="227" t="s">
        <v>322</v>
      </c>
      <c r="D133" s="227" t="s">
        <v>355</v>
      </c>
      <c r="E133" s="107" t="s">
        <v>42</v>
      </c>
      <c r="F133" s="123">
        <f>SUM(F134:F136)</f>
        <v>8410.9</v>
      </c>
      <c r="G133" s="123">
        <f t="shared" si="181"/>
        <v>5010.6000000000004</v>
      </c>
      <c r="H133" s="123">
        <f t="shared" ref="H133" si="196">SUM(H134:H136)</f>
        <v>4829.8999999999996</v>
      </c>
      <c r="I133" s="123">
        <f t="shared" si="183"/>
        <v>3712.1</v>
      </c>
      <c r="J133" s="123">
        <f>H133/F133*100</f>
        <v>57.424294665255793</v>
      </c>
      <c r="K133" s="132">
        <f t="shared" ref="K133:AR133" si="197">K134+K135+K136</f>
        <v>0</v>
      </c>
      <c r="L133" s="132">
        <f t="shared" si="197"/>
        <v>0</v>
      </c>
      <c r="M133" s="123">
        <v>0</v>
      </c>
      <c r="N133" s="132">
        <f t="shared" si="197"/>
        <v>2460.1999999999998</v>
      </c>
      <c r="O133" s="132">
        <f t="shared" si="197"/>
        <v>2292.6</v>
      </c>
      <c r="P133" s="132">
        <f>O133/N133*100</f>
        <v>93.187545727989601</v>
      </c>
      <c r="Q133" s="132">
        <f t="shared" si="197"/>
        <v>526.4</v>
      </c>
      <c r="R133" s="132">
        <f t="shared" si="197"/>
        <v>478.4</v>
      </c>
      <c r="S133" s="123">
        <f t="shared" si="185"/>
        <v>90.881458966565347</v>
      </c>
      <c r="T133" s="132">
        <f t="shared" si="197"/>
        <v>802.2</v>
      </c>
      <c r="U133" s="132">
        <f t="shared" si="197"/>
        <v>941.1</v>
      </c>
      <c r="V133" s="132">
        <f t="shared" si="190"/>
        <v>117.31488406881077</v>
      </c>
      <c r="W133" s="132">
        <f t="shared" si="197"/>
        <v>492.2</v>
      </c>
      <c r="X133" s="132">
        <f t="shared" si="197"/>
        <v>485.3</v>
      </c>
      <c r="Y133" s="156">
        <f t="shared" ref="Y133" si="198">X133/W133*100</f>
        <v>98.598130841121502</v>
      </c>
      <c r="Z133" s="132">
        <f t="shared" si="197"/>
        <v>729.6</v>
      </c>
      <c r="AA133" s="132">
        <f t="shared" si="197"/>
        <v>632.5</v>
      </c>
      <c r="AB133" s="132">
        <f t="shared" si="197"/>
        <v>86.691337719298247</v>
      </c>
      <c r="AC133" s="132">
        <f t="shared" si="197"/>
        <v>644.29999999999995</v>
      </c>
      <c r="AD133" s="132">
        <f t="shared" si="197"/>
        <v>0</v>
      </c>
      <c r="AE133" s="132">
        <f t="shared" si="197"/>
        <v>0</v>
      </c>
      <c r="AF133" s="132">
        <f t="shared" si="197"/>
        <v>580.29999999999995</v>
      </c>
      <c r="AG133" s="132">
        <f t="shared" si="197"/>
        <v>0</v>
      </c>
      <c r="AH133" s="132">
        <f t="shared" si="197"/>
        <v>0</v>
      </c>
      <c r="AI133" s="132">
        <f t="shared" si="197"/>
        <v>155.4</v>
      </c>
      <c r="AJ133" s="132">
        <f t="shared" si="197"/>
        <v>0</v>
      </c>
      <c r="AK133" s="132">
        <f t="shared" si="197"/>
        <v>0</v>
      </c>
      <c r="AL133" s="132">
        <f t="shared" si="197"/>
        <v>117.4</v>
      </c>
      <c r="AM133" s="132">
        <f t="shared" si="197"/>
        <v>0</v>
      </c>
      <c r="AN133" s="132">
        <f t="shared" si="197"/>
        <v>0</v>
      </c>
      <c r="AO133" s="132">
        <f t="shared" si="197"/>
        <v>318.39999999999998</v>
      </c>
      <c r="AP133" s="132">
        <f t="shared" si="197"/>
        <v>0</v>
      </c>
      <c r="AQ133" s="132">
        <f t="shared" si="197"/>
        <v>0</v>
      </c>
      <c r="AR133" s="132">
        <f t="shared" si="197"/>
        <v>1584.5</v>
      </c>
      <c r="AS133" s="104"/>
      <c r="AT133" s="104"/>
      <c r="AU133" s="282" t="s">
        <v>372</v>
      </c>
      <c r="AV133" s="278" t="s">
        <v>373</v>
      </c>
    </row>
    <row r="134" spans="1:50" s="31" customFormat="1" ht="36">
      <c r="A134" s="312"/>
      <c r="B134" s="223"/>
      <c r="C134" s="228"/>
      <c r="D134" s="228"/>
      <c r="E134" s="108" t="s">
        <v>3</v>
      </c>
      <c r="F134" s="123">
        <f>K134+N134+Q134+T134+W134+Z134+AC134+AF134+AI134+AL134+AO134+AR134</f>
        <v>0</v>
      </c>
      <c r="G134" s="123">
        <f t="shared" si="181"/>
        <v>0</v>
      </c>
      <c r="H134" s="123">
        <f>L134+O134+R134+U134+X134+AA134+AD134+AG134+AJ134+AM134+AP134+AS134</f>
        <v>0</v>
      </c>
      <c r="I134" s="123">
        <f t="shared" si="183"/>
        <v>0</v>
      </c>
      <c r="J134" s="123">
        <v>0</v>
      </c>
      <c r="K134" s="123">
        <v>0</v>
      </c>
      <c r="L134" s="123">
        <v>0</v>
      </c>
      <c r="M134" s="123">
        <v>0</v>
      </c>
      <c r="N134" s="179">
        <v>0</v>
      </c>
      <c r="O134" s="123">
        <v>0</v>
      </c>
      <c r="P134" s="156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56">
        <v>0</v>
      </c>
      <c r="W134" s="117">
        <v>0</v>
      </c>
      <c r="X134" s="117">
        <v>0</v>
      </c>
      <c r="Y134" s="117">
        <v>0</v>
      </c>
      <c r="Z134" s="117">
        <v>0</v>
      </c>
      <c r="AA134" s="117">
        <v>0</v>
      </c>
      <c r="AB134" s="117">
        <v>0</v>
      </c>
      <c r="AC134" s="117">
        <v>0</v>
      </c>
      <c r="AD134" s="117">
        <v>0</v>
      </c>
      <c r="AE134" s="117">
        <v>0</v>
      </c>
      <c r="AF134" s="117">
        <v>0</v>
      </c>
      <c r="AG134" s="117">
        <v>0</v>
      </c>
      <c r="AH134" s="117">
        <v>0</v>
      </c>
      <c r="AI134" s="117">
        <v>0</v>
      </c>
      <c r="AJ134" s="117">
        <v>0</v>
      </c>
      <c r="AK134" s="117">
        <v>0</v>
      </c>
      <c r="AL134" s="123">
        <v>0</v>
      </c>
      <c r="AM134" s="123">
        <v>0</v>
      </c>
      <c r="AN134" s="123">
        <v>0</v>
      </c>
      <c r="AO134" s="117">
        <v>0</v>
      </c>
      <c r="AP134" s="117">
        <v>0</v>
      </c>
      <c r="AQ134" s="117">
        <v>0</v>
      </c>
      <c r="AR134" s="123">
        <v>0</v>
      </c>
      <c r="AS134" s="104"/>
      <c r="AT134" s="104"/>
      <c r="AU134" s="283"/>
      <c r="AV134" s="279"/>
    </row>
    <row r="135" spans="1:50" s="31" customFormat="1" ht="24">
      <c r="A135" s="312"/>
      <c r="B135" s="223"/>
      <c r="C135" s="228"/>
      <c r="D135" s="228"/>
      <c r="E135" s="108" t="s">
        <v>44</v>
      </c>
      <c r="F135" s="123">
        <f t="shared" ref="F135:F136" si="199">K135+N135+Q135+T135+W135+Z135+AC135+AF135+AI135+AL135+AO135+AR135</f>
        <v>8410.9</v>
      </c>
      <c r="G135" s="123">
        <f t="shared" si="181"/>
        <v>5010.6000000000004</v>
      </c>
      <c r="H135" s="123">
        <f t="shared" ref="H135:H136" si="200">L135+O135+R135+U135+X135+AA135+AD135+AG135+AJ135+AM135+AP135+AS135</f>
        <v>4829.8999999999996</v>
      </c>
      <c r="I135" s="123">
        <f>L135+O135+R135+U135</f>
        <v>3712.1</v>
      </c>
      <c r="J135" s="123">
        <f>H135/F135*100</f>
        <v>57.424294665255793</v>
      </c>
      <c r="K135" s="123">
        <v>0</v>
      </c>
      <c r="L135" s="123">
        <v>0</v>
      </c>
      <c r="M135" s="123">
        <v>0</v>
      </c>
      <c r="N135" s="179">
        <v>2460.1999999999998</v>
      </c>
      <c r="O135" s="123">
        <v>2292.6</v>
      </c>
      <c r="P135" s="156">
        <f t="shared" ref="P135" si="201">O135/N135*100</f>
        <v>93.187545727989601</v>
      </c>
      <c r="Q135" s="123">
        <v>526.4</v>
      </c>
      <c r="R135" s="123">
        <v>478.4</v>
      </c>
      <c r="S135" s="123">
        <f t="shared" si="185"/>
        <v>90.881458966565347</v>
      </c>
      <c r="T135" s="123">
        <v>802.2</v>
      </c>
      <c r="U135" s="123">
        <v>941.1</v>
      </c>
      <c r="V135" s="156">
        <f t="shared" si="190"/>
        <v>117.31488406881077</v>
      </c>
      <c r="W135" s="117">
        <v>492.2</v>
      </c>
      <c r="X135" s="117">
        <v>485.3</v>
      </c>
      <c r="Y135" s="156">
        <f t="shared" ref="Y135" si="202">X135/W135*100</f>
        <v>98.598130841121502</v>
      </c>
      <c r="Z135" s="117">
        <v>729.6</v>
      </c>
      <c r="AA135" s="117">
        <v>632.5</v>
      </c>
      <c r="AB135" s="117">
        <f>AA135/Z135*100</f>
        <v>86.691337719298247</v>
      </c>
      <c r="AC135" s="117">
        <v>644.29999999999995</v>
      </c>
      <c r="AD135" s="117">
        <v>0</v>
      </c>
      <c r="AE135" s="117">
        <v>0</v>
      </c>
      <c r="AF135" s="117">
        <v>580.29999999999995</v>
      </c>
      <c r="AG135" s="117">
        <v>0</v>
      </c>
      <c r="AH135" s="117">
        <v>0</v>
      </c>
      <c r="AI135" s="117">
        <v>155.4</v>
      </c>
      <c r="AJ135" s="117">
        <v>0</v>
      </c>
      <c r="AK135" s="117">
        <v>0</v>
      </c>
      <c r="AL135" s="123">
        <v>117.4</v>
      </c>
      <c r="AM135" s="123">
        <v>0</v>
      </c>
      <c r="AN135" s="123">
        <v>0</v>
      </c>
      <c r="AO135" s="117">
        <v>318.39999999999998</v>
      </c>
      <c r="AP135" s="117">
        <v>0</v>
      </c>
      <c r="AQ135" s="117">
        <v>0</v>
      </c>
      <c r="AR135" s="123">
        <f>484.5+1100</f>
        <v>1584.5</v>
      </c>
      <c r="AS135" s="104"/>
      <c r="AT135" s="104"/>
      <c r="AU135" s="283"/>
      <c r="AV135" s="279"/>
    </row>
    <row r="136" spans="1:50" s="31" customFormat="1" ht="24">
      <c r="A136" s="312"/>
      <c r="B136" s="223"/>
      <c r="C136" s="229"/>
      <c r="D136" s="229"/>
      <c r="E136" s="109" t="s">
        <v>275</v>
      </c>
      <c r="F136" s="123">
        <f t="shared" si="199"/>
        <v>0</v>
      </c>
      <c r="G136" s="123">
        <f t="shared" si="181"/>
        <v>0</v>
      </c>
      <c r="H136" s="123">
        <f t="shared" si="200"/>
        <v>0</v>
      </c>
      <c r="I136" s="123">
        <f t="shared" si="183"/>
        <v>0</v>
      </c>
      <c r="J136" s="123">
        <v>0</v>
      </c>
      <c r="K136" s="123">
        <v>0</v>
      </c>
      <c r="L136" s="123">
        <v>0</v>
      </c>
      <c r="M136" s="123">
        <v>0</v>
      </c>
      <c r="N136" s="179">
        <v>0</v>
      </c>
      <c r="O136" s="123">
        <v>0</v>
      </c>
      <c r="P136" s="123">
        <v>0</v>
      </c>
      <c r="Q136" s="123">
        <v>0</v>
      </c>
      <c r="R136" s="123">
        <v>0</v>
      </c>
      <c r="S136" s="123">
        <v>0</v>
      </c>
      <c r="T136" s="123">
        <v>0</v>
      </c>
      <c r="U136" s="123">
        <v>0</v>
      </c>
      <c r="V136" s="156">
        <v>0</v>
      </c>
      <c r="W136" s="117">
        <v>0</v>
      </c>
      <c r="X136" s="117">
        <v>0</v>
      </c>
      <c r="Y136" s="117">
        <v>0</v>
      </c>
      <c r="Z136" s="117">
        <v>0</v>
      </c>
      <c r="AA136" s="117">
        <v>0</v>
      </c>
      <c r="AB136" s="117">
        <v>0</v>
      </c>
      <c r="AC136" s="117">
        <v>0</v>
      </c>
      <c r="AD136" s="117">
        <v>0</v>
      </c>
      <c r="AE136" s="117">
        <v>0</v>
      </c>
      <c r="AF136" s="117">
        <v>0</v>
      </c>
      <c r="AG136" s="117">
        <v>0</v>
      </c>
      <c r="AH136" s="117">
        <v>0</v>
      </c>
      <c r="AI136" s="117">
        <v>0</v>
      </c>
      <c r="AJ136" s="117">
        <v>0</v>
      </c>
      <c r="AK136" s="117">
        <v>0</v>
      </c>
      <c r="AL136" s="123">
        <v>0</v>
      </c>
      <c r="AM136" s="123">
        <v>0</v>
      </c>
      <c r="AN136" s="123">
        <v>0</v>
      </c>
      <c r="AO136" s="117">
        <v>0</v>
      </c>
      <c r="AP136" s="117">
        <v>0</v>
      </c>
      <c r="AQ136" s="117">
        <v>0</v>
      </c>
      <c r="AR136" s="123">
        <v>0</v>
      </c>
      <c r="AS136" s="104"/>
      <c r="AT136" s="104"/>
      <c r="AU136" s="284"/>
      <c r="AV136" s="280"/>
    </row>
    <row r="137" spans="1:50" s="100" customFormat="1" ht="12.75" customHeight="1">
      <c r="A137" s="265" t="s">
        <v>256</v>
      </c>
      <c r="B137" s="266"/>
      <c r="C137" s="266"/>
      <c r="D137" s="267"/>
      <c r="E137" s="110" t="s">
        <v>42</v>
      </c>
      <c r="F137" s="106">
        <f>F138+F139+F140</f>
        <v>444296.89999999997</v>
      </c>
      <c r="G137" s="106">
        <f>K137+N137+Q137+T137+W137+Z137</f>
        <v>205607.3</v>
      </c>
      <c r="H137" s="106">
        <f t="shared" ref="H137:AR137" si="203">H138+H139+H140</f>
        <v>195255.09999999998</v>
      </c>
      <c r="I137" s="106">
        <f>L137+O137+R137+U137</f>
        <v>127485.20000000001</v>
      </c>
      <c r="J137" s="106">
        <f>H137/F137*100</f>
        <v>43.946986800943243</v>
      </c>
      <c r="K137" s="106">
        <f t="shared" si="203"/>
        <v>7988.6999999999944</v>
      </c>
      <c r="L137" s="106">
        <f t="shared" si="203"/>
        <v>6392.1000000000013</v>
      </c>
      <c r="M137" s="106">
        <f>L137/K137*100</f>
        <v>80.014270156596268</v>
      </c>
      <c r="N137" s="106">
        <f t="shared" si="203"/>
        <v>50255.4</v>
      </c>
      <c r="O137" s="106">
        <f t="shared" si="203"/>
        <v>46989.200000000004</v>
      </c>
      <c r="P137" s="106">
        <f>O137/N137*100</f>
        <v>93.500797924203169</v>
      </c>
      <c r="Q137" s="106">
        <f t="shared" si="203"/>
        <v>35118.699999999997</v>
      </c>
      <c r="R137" s="106">
        <f t="shared" si="203"/>
        <v>33961.5</v>
      </c>
      <c r="S137" s="106">
        <f>R137/Q137*100</f>
        <v>96.704889417888481</v>
      </c>
      <c r="T137" s="106">
        <f t="shared" si="203"/>
        <v>41003.999999999993</v>
      </c>
      <c r="U137" s="106">
        <f t="shared" si="203"/>
        <v>40142.400000000001</v>
      </c>
      <c r="V137" s="106">
        <f>U137/T137*100</f>
        <v>97.898741586186731</v>
      </c>
      <c r="W137" s="106">
        <f t="shared" si="203"/>
        <v>35172.6</v>
      </c>
      <c r="X137" s="106">
        <f t="shared" si="203"/>
        <v>34059.500000000007</v>
      </c>
      <c r="Y137" s="106">
        <f t="shared" si="203"/>
        <v>730.18058209681158</v>
      </c>
      <c r="Z137" s="106">
        <f t="shared" si="203"/>
        <v>36067.9</v>
      </c>
      <c r="AA137" s="106">
        <f t="shared" si="203"/>
        <v>33710.400000000001</v>
      </c>
      <c r="AB137" s="106">
        <f t="shared" si="203"/>
        <v>1405.9958603991847</v>
      </c>
      <c r="AC137" s="106">
        <f t="shared" si="203"/>
        <v>47944.399999999994</v>
      </c>
      <c r="AD137" s="106">
        <f t="shared" si="203"/>
        <v>0</v>
      </c>
      <c r="AE137" s="106">
        <f t="shared" si="203"/>
        <v>0</v>
      </c>
      <c r="AF137" s="106">
        <f t="shared" si="203"/>
        <v>39113.1</v>
      </c>
      <c r="AG137" s="106">
        <f t="shared" si="203"/>
        <v>0</v>
      </c>
      <c r="AH137" s="106">
        <f t="shared" si="203"/>
        <v>0</v>
      </c>
      <c r="AI137" s="106">
        <f t="shared" si="203"/>
        <v>31250.5</v>
      </c>
      <c r="AJ137" s="106">
        <f t="shared" si="203"/>
        <v>0</v>
      </c>
      <c r="AK137" s="106">
        <f t="shared" si="203"/>
        <v>0</v>
      </c>
      <c r="AL137" s="106">
        <f t="shared" si="203"/>
        <v>37215</v>
      </c>
      <c r="AM137" s="106">
        <f t="shared" si="203"/>
        <v>0</v>
      </c>
      <c r="AN137" s="106">
        <f t="shared" si="203"/>
        <v>0</v>
      </c>
      <c r="AO137" s="106">
        <f t="shared" si="203"/>
        <v>26619.3</v>
      </c>
      <c r="AP137" s="106">
        <f t="shared" si="203"/>
        <v>0</v>
      </c>
      <c r="AQ137" s="106">
        <f t="shared" si="203"/>
        <v>0</v>
      </c>
      <c r="AR137" s="106">
        <f t="shared" si="203"/>
        <v>56547.3</v>
      </c>
      <c r="AS137" s="103">
        <f t="shared" ref="AS137:AT137" si="204">SUM(AS138:AS140)</f>
        <v>0</v>
      </c>
      <c r="AT137" s="103">
        <f t="shared" si="204"/>
        <v>0</v>
      </c>
      <c r="AU137" s="243"/>
      <c r="AV137" s="262"/>
      <c r="AW137" s="121"/>
      <c r="AX137" s="127"/>
    </row>
    <row r="138" spans="1:50" s="100" customFormat="1" ht="36">
      <c r="A138" s="268"/>
      <c r="B138" s="269"/>
      <c r="C138" s="269"/>
      <c r="D138" s="270"/>
      <c r="E138" s="111" t="s">
        <v>3</v>
      </c>
      <c r="F138" s="106">
        <f>F10+F86+F103+F118</f>
        <v>115937.9</v>
      </c>
      <c r="G138" s="106">
        <f t="shared" ref="G138:G140" si="205">K138+N138+Q138+T138+W138+Z138</f>
        <v>49549.1</v>
      </c>
      <c r="H138" s="106">
        <f>H10+H86+H103+H118</f>
        <v>44286.000000000007</v>
      </c>
      <c r="I138" s="106">
        <f t="shared" ref="I138:I140" si="206">L138+O138+R138+U138</f>
        <v>27229.599999999999</v>
      </c>
      <c r="J138" s="106">
        <f t="shared" ref="J138:J140" si="207">H138/F138*100</f>
        <v>38.198035327533105</v>
      </c>
      <c r="K138" s="106">
        <f t="shared" ref="K138:L140" si="208">K10+K86+K103+K118</f>
        <v>1264.5</v>
      </c>
      <c r="L138" s="106">
        <f t="shared" si="208"/>
        <v>1104.5</v>
      </c>
      <c r="M138" s="106">
        <f t="shared" ref="M138:M140" si="209">L138/K138*100</f>
        <v>87.346777382364564</v>
      </c>
      <c r="N138" s="106">
        <f t="shared" ref="N138:O140" si="210">N10+N86+N103+N118</f>
        <v>10240.4</v>
      </c>
      <c r="O138" s="106">
        <f t="shared" si="210"/>
        <v>8833.5</v>
      </c>
      <c r="P138" s="106">
        <f t="shared" ref="P138:P140" si="211">O138/N138*100</f>
        <v>86.26127885629468</v>
      </c>
      <c r="Q138" s="106">
        <f t="shared" ref="Q138:R140" si="212">Q10+Q86+Q103+Q118</f>
        <v>7140.4000000000005</v>
      </c>
      <c r="R138" s="106">
        <f t="shared" si="212"/>
        <v>7551.2</v>
      </c>
      <c r="S138" s="106">
        <f t="shared" ref="S138:S139" si="213">R138/Q138*100</f>
        <v>105.7531790936082</v>
      </c>
      <c r="T138" s="106">
        <f t="shared" ref="T138:U140" si="214">T10+T86+T103+T118</f>
        <v>10480.9</v>
      </c>
      <c r="U138" s="106">
        <f t="shared" si="214"/>
        <v>9740.4</v>
      </c>
      <c r="V138" s="106">
        <f t="shared" ref="V138:V140" si="215">U138/T138*100</f>
        <v>92.934767052447782</v>
      </c>
      <c r="W138" s="106">
        <f t="shared" ref="W138:AT138" si="216">W10+W86+W103+W118</f>
        <v>9067.5</v>
      </c>
      <c r="X138" s="106">
        <f t="shared" si="216"/>
        <v>8478.9000000000015</v>
      </c>
      <c r="Y138" s="106">
        <f t="shared" si="216"/>
        <v>193.13358066188823</v>
      </c>
      <c r="Z138" s="106">
        <f t="shared" si="216"/>
        <v>11355.4</v>
      </c>
      <c r="AA138" s="106">
        <f t="shared" si="216"/>
        <v>8577.5</v>
      </c>
      <c r="AB138" s="106">
        <f t="shared" si="216"/>
        <v>600.45331653301105</v>
      </c>
      <c r="AC138" s="106">
        <f t="shared" si="216"/>
        <v>13205.300000000001</v>
      </c>
      <c r="AD138" s="106">
        <f t="shared" si="216"/>
        <v>0</v>
      </c>
      <c r="AE138" s="106">
        <f t="shared" si="216"/>
        <v>0</v>
      </c>
      <c r="AF138" s="106">
        <f t="shared" si="216"/>
        <v>10976.4</v>
      </c>
      <c r="AG138" s="106">
        <f t="shared" si="216"/>
        <v>0</v>
      </c>
      <c r="AH138" s="106">
        <f t="shared" si="216"/>
        <v>0</v>
      </c>
      <c r="AI138" s="106">
        <f t="shared" si="216"/>
        <v>6790.2</v>
      </c>
      <c r="AJ138" s="106">
        <f t="shared" si="216"/>
        <v>0</v>
      </c>
      <c r="AK138" s="106">
        <f t="shared" si="216"/>
        <v>0</v>
      </c>
      <c r="AL138" s="106">
        <f t="shared" si="216"/>
        <v>8271.5999999999985</v>
      </c>
      <c r="AM138" s="106">
        <f t="shared" si="216"/>
        <v>0</v>
      </c>
      <c r="AN138" s="106">
        <f t="shared" si="216"/>
        <v>0</v>
      </c>
      <c r="AO138" s="106">
        <f t="shared" si="216"/>
        <v>6584</v>
      </c>
      <c r="AP138" s="106">
        <f t="shared" si="216"/>
        <v>0</v>
      </c>
      <c r="AQ138" s="106">
        <f t="shared" si="216"/>
        <v>0</v>
      </c>
      <c r="AR138" s="106">
        <f t="shared" si="216"/>
        <v>20561.3</v>
      </c>
      <c r="AS138" s="106">
        <f t="shared" si="216"/>
        <v>0</v>
      </c>
      <c r="AT138" s="106">
        <f t="shared" si="216"/>
        <v>0</v>
      </c>
      <c r="AU138" s="244"/>
      <c r="AV138" s="263"/>
      <c r="AW138" s="121"/>
      <c r="AX138" s="127"/>
    </row>
    <row r="139" spans="1:50" s="100" customFormat="1" ht="24">
      <c r="A139" s="268"/>
      <c r="B139" s="269"/>
      <c r="C139" s="269"/>
      <c r="D139" s="270"/>
      <c r="E139" s="111" t="s">
        <v>44</v>
      </c>
      <c r="F139" s="106">
        <f>F11+F87+F104+F119</f>
        <v>323311.79999999993</v>
      </c>
      <c r="G139" s="106">
        <f t="shared" si="205"/>
        <v>153715.79999999999</v>
      </c>
      <c r="H139" s="106">
        <f>H11+H87+H104+H119</f>
        <v>149300.79999999999</v>
      </c>
      <c r="I139" s="106">
        <f t="shared" si="206"/>
        <v>99113.3</v>
      </c>
      <c r="J139" s="106">
        <f t="shared" si="207"/>
        <v>46.178580552890438</v>
      </c>
      <c r="K139" s="106">
        <f t="shared" si="208"/>
        <v>6690.6999999999944</v>
      </c>
      <c r="L139" s="106">
        <f t="shared" si="208"/>
        <v>5287.6000000000013</v>
      </c>
      <c r="M139" s="106">
        <f t="shared" si="209"/>
        <v>79.029100094160626</v>
      </c>
      <c r="N139" s="106">
        <f t="shared" si="210"/>
        <v>39752.699999999997</v>
      </c>
      <c r="O139" s="106">
        <f t="shared" si="210"/>
        <v>37981.800000000003</v>
      </c>
      <c r="P139" s="106">
        <f t="shared" si="211"/>
        <v>95.545208250005672</v>
      </c>
      <c r="Q139" s="106">
        <f t="shared" si="212"/>
        <v>27349.8</v>
      </c>
      <c r="R139" s="106">
        <f t="shared" si="212"/>
        <v>25969.4</v>
      </c>
      <c r="S139" s="106">
        <f t="shared" si="213"/>
        <v>94.952796729775002</v>
      </c>
      <c r="T139" s="106">
        <f t="shared" si="214"/>
        <v>29858.199999999993</v>
      </c>
      <c r="U139" s="106">
        <f t="shared" si="214"/>
        <v>29874.500000000004</v>
      </c>
      <c r="V139" s="106">
        <f t="shared" si="215"/>
        <v>100.05459136853531</v>
      </c>
      <c r="W139" s="106">
        <f t="shared" ref="W139:AT139" si="217">W11+W87+W104+W119</f>
        <v>25669.199999999993</v>
      </c>
      <c r="X139" s="106">
        <f t="shared" si="217"/>
        <v>25254.7</v>
      </c>
      <c r="Y139" s="106">
        <f t="shared" si="217"/>
        <v>462.2821471105371</v>
      </c>
      <c r="Z139" s="106">
        <f t="shared" si="217"/>
        <v>24395.200000000001</v>
      </c>
      <c r="AA139" s="106">
        <f t="shared" si="217"/>
        <v>24932.799999999999</v>
      </c>
      <c r="AB139" s="106">
        <f t="shared" si="217"/>
        <v>742.47919687594367</v>
      </c>
      <c r="AC139" s="106">
        <f t="shared" si="217"/>
        <v>34124.19999999999</v>
      </c>
      <c r="AD139" s="106">
        <f t="shared" si="217"/>
        <v>0</v>
      </c>
      <c r="AE139" s="106">
        <f t="shared" si="217"/>
        <v>0</v>
      </c>
      <c r="AF139" s="106">
        <f t="shared" si="217"/>
        <v>27609.200000000001</v>
      </c>
      <c r="AG139" s="106">
        <f t="shared" si="217"/>
        <v>0</v>
      </c>
      <c r="AH139" s="106">
        <f t="shared" si="217"/>
        <v>0</v>
      </c>
      <c r="AI139" s="106">
        <f t="shared" si="217"/>
        <v>24178.7</v>
      </c>
      <c r="AJ139" s="106">
        <f t="shared" si="217"/>
        <v>0</v>
      </c>
      <c r="AK139" s="106">
        <f t="shared" si="217"/>
        <v>0</v>
      </c>
      <c r="AL139" s="106">
        <f t="shared" si="217"/>
        <v>28418.5</v>
      </c>
      <c r="AM139" s="106">
        <f t="shared" si="217"/>
        <v>0</v>
      </c>
      <c r="AN139" s="106">
        <f t="shared" si="217"/>
        <v>0</v>
      </c>
      <c r="AO139" s="106">
        <f t="shared" si="217"/>
        <v>19675.399999999998</v>
      </c>
      <c r="AP139" s="106">
        <f t="shared" si="217"/>
        <v>0</v>
      </c>
      <c r="AQ139" s="106">
        <f t="shared" si="217"/>
        <v>0</v>
      </c>
      <c r="AR139" s="106">
        <f t="shared" si="217"/>
        <v>35590</v>
      </c>
      <c r="AS139" s="106">
        <f t="shared" si="217"/>
        <v>0</v>
      </c>
      <c r="AT139" s="106">
        <f t="shared" si="217"/>
        <v>0</v>
      </c>
      <c r="AU139" s="244"/>
      <c r="AV139" s="263"/>
      <c r="AW139" s="121"/>
      <c r="AX139" s="127"/>
    </row>
    <row r="140" spans="1:50" s="100" customFormat="1" ht="24">
      <c r="A140" s="271"/>
      <c r="B140" s="272"/>
      <c r="C140" s="272"/>
      <c r="D140" s="273"/>
      <c r="E140" s="110" t="s">
        <v>275</v>
      </c>
      <c r="F140" s="106">
        <f>F12+F88+F105+F120</f>
        <v>5047.2</v>
      </c>
      <c r="G140" s="106">
        <f t="shared" si="205"/>
        <v>2342.4</v>
      </c>
      <c r="H140" s="106">
        <f>H12+H88+H105+H120</f>
        <v>1668.2999999999997</v>
      </c>
      <c r="I140" s="106">
        <f t="shared" si="206"/>
        <v>1142.3</v>
      </c>
      <c r="J140" s="106">
        <f t="shared" si="207"/>
        <v>33.053970518307175</v>
      </c>
      <c r="K140" s="106">
        <f t="shared" si="208"/>
        <v>33.5</v>
      </c>
      <c r="L140" s="106">
        <f t="shared" si="208"/>
        <v>0</v>
      </c>
      <c r="M140" s="106">
        <f t="shared" si="209"/>
        <v>0</v>
      </c>
      <c r="N140" s="106">
        <f t="shared" si="210"/>
        <v>262.3</v>
      </c>
      <c r="O140" s="106">
        <f t="shared" si="210"/>
        <v>173.9</v>
      </c>
      <c r="P140" s="106">
        <f t="shared" si="211"/>
        <v>66.298131910026683</v>
      </c>
      <c r="Q140" s="106">
        <f t="shared" si="212"/>
        <v>628.5</v>
      </c>
      <c r="R140" s="106">
        <f t="shared" si="212"/>
        <v>440.9</v>
      </c>
      <c r="S140" s="106" t="e">
        <f>#REF!</f>
        <v>#REF!</v>
      </c>
      <c r="T140" s="106">
        <f t="shared" si="214"/>
        <v>664.9</v>
      </c>
      <c r="U140" s="106">
        <f t="shared" si="214"/>
        <v>527.5</v>
      </c>
      <c r="V140" s="106">
        <f t="shared" si="215"/>
        <v>79.335238381711534</v>
      </c>
      <c r="W140" s="106">
        <f t="shared" ref="W140:AT140" si="218">W12+W88+W105+W120</f>
        <v>435.9</v>
      </c>
      <c r="X140" s="106">
        <f t="shared" si="218"/>
        <v>325.89999999999998</v>
      </c>
      <c r="Y140" s="106">
        <f t="shared" si="218"/>
        <v>74.76485432438632</v>
      </c>
      <c r="Z140" s="106">
        <f t="shared" si="218"/>
        <v>317.3</v>
      </c>
      <c r="AA140" s="106">
        <f t="shared" si="218"/>
        <v>200.1</v>
      </c>
      <c r="AB140" s="106">
        <f t="shared" si="218"/>
        <v>63.063346990230059</v>
      </c>
      <c r="AC140" s="106">
        <f t="shared" si="218"/>
        <v>614.9</v>
      </c>
      <c r="AD140" s="106">
        <f t="shared" si="218"/>
        <v>0</v>
      </c>
      <c r="AE140" s="106">
        <f t="shared" si="218"/>
        <v>0</v>
      </c>
      <c r="AF140" s="106">
        <f t="shared" si="218"/>
        <v>527.5</v>
      </c>
      <c r="AG140" s="106">
        <f t="shared" si="218"/>
        <v>0</v>
      </c>
      <c r="AH140" s="106">
        <f t="shared" si="218"/>
        <v>0</v>
      </c>
      <c r="AI140" s="106">
        <f t="shared" si="218"/>
        <v>281.60000000000002</v>
      </c>
      <c r="AJ140" s="106">
        <f t="shared" si="218"/>
        <v>0</v>
      </c>
      <c r="AK140" s="106">
        <f t="shared" si="218"/>
        <v>0</v>
      </c>
      <c r="AL140" s="106">
        <f t="shared" si="218"/>
        <v>524.9</v>
      </c>
      <c r="AM140" s="106">
        <f t="shared" si="218"/>
        <v>0</v>
      </c>
      <c r="AN140" s="106">
        <f t="shared" si="218"/>
        <v>0</v>
      </c>
      <c r="AO140" s="106">
        <f t="shared" si="218"/>
        <v>359.9</v>
      </c>
      <c r="AP140" s="106">
        <f t="shared" si="218"/>
        <v>0</v>
      </c>
      <c r="AQ140" s="106">
        <f t="shared" si="218"/>
        <v>0</v>
      </c>
      <c r="AR140" s="106">
        <f t="shared" si="218"/>
        <v>396</v>
      </c>
      <c r="AS140" s="106">
        <f t="shared" si="218"/>
        <v>0</v>
      </c>
      <c r="AT140" s="106">
        <f t="shared" si="218"/>
        <v>0</v>
      </c>
      <c r="AU140" s="245"/>
      <c r="AV140" s="264"/>
      <c r="AW140" s="121"/>
      <c r="AX140" s="127"/>
    </row>
    <row r="141" spans="1:50" s="31" customFormat="1" ht="12.75">
      <c r="A141" s="32"/>
      <c r="B141" s="145"/>
      <c r="C141" s="145"/>
      <c r="D141" s="145"/>
      <c r="E141" s="29"/>
      <c r="F141" s="101"/>
      <c r="G141" s="101"/>
      <c r="H141" s="101"/>
      <c r="I141" s="101"/>
      <c r="J141" s="41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145"/>
      <c r="AM141" s="145"/>
      <c r="AN141" s="145"/>
      <c r="AO141" s="99"/>
      <c r="AP141" s="99"/>
      <c r="AQ141" s="99"/>
      <c r="AU141" s="131"/>
    </row>
    <row r="142" spans="1:50" s="31" customFormat="1">
      <c r="A142" s="32"/>
      <c r="B142" s="219"/>
      <c r="C142" s="219"/>
      <c r="D142" s="219"/>
      <c r="E142" s="220"/>
      <c r="F142" s="221"/>
      <c r="G142" s="144"/>
      <c r="H142" s="167"/>
      <c r="I142" s="101"/>
      <c r="J142" s="41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145"/>
      <c r="AM142" s="145"/>
      <c r="AN142" s="145"/>
      <c r="AO142" s="99"/>
      <c r="AP142" s="99"/>
      <c r="AQ142" s="99"/>
      <c r="AU142" s="131"/>
    </row>
    <row r="143" spans="1:50" s="31" customFormat="1" ht="12.75">
      <c r="A143" s="32"/>
      <c r="E143" s="119"/>
      <c r="F143" s="120"/>
      <c r="G143" s="120"/>
      <c r="H143" s="120"/>
      <c r="I143" s="120"/>
      <c r="J143" s="121"/>
      <c r="R143" s="145"/>
      <c r="S143" s="145"/>
      <c r="T143" s="145"/>
      <c r="U143" s="145"/>
      <c r="V143" s="145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145"/>
      <c r="AM143" s="145"/>
      <c r="AN143" s="145"/>
      <c r="AO143" s="99"/>
      <c r="AP143" s="99"/>
      <c r="AQ143" s="99"/>
      <c r="AU143" s="131"/>
    </row>
    <row r="144" spans="1:50" s="31" customFormat="1" ht="12.75">
      <c r="A144" s="281" t="s">
        <v>404</v>
      </c>
      <c r="B144" s="281"/>
      <c r="C144" s="281"/>
      <c r="D144" s="145"/>
      <c r="E144" s="29"/>
      <c r="F144" s="101"/>
      <c r="G144" s="101"/>
      <c r="H144" s="101"/>
      <c r="I144" s="101"/>
      <c r="J144" s="41"/>
      <c r="K144" s="145"/>
      <c r="L144" s="173" t="s">
        <v>406</v>
      </c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145"/>
      <c r="AM144" s="145"/>
      <c r="AN144" s="145"/>
      <c r="AO144" s="99"/>
      <c r="AP144" s="99"/>
      <c r="AQ144" s="99"/>
      <c r="AU144" s="131"/>
    </row>
    <row r="145" spans="1:47" s="31" customFormat="1">
      <c r="A145" s="281" t="s">
        <v>405</v>
      </c>
      <c r="B145" s="281"/>
      <c r="C145" s="281"/>
      <c r="D145" s="281"/>
      <c r="E145" s="281"/>
      <c r="F145" s="281"/>
      <c r="G145" s="143"/>
      <c r="H145" s="101"/>
      <c r="I145" s="101"/>
      <c r="J145" s="41"/>
      <c r="K145" s="145"/>
      <c r="L145" s="173" t="s">
        <v>407</v>
      </c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145"/>
      <c r="AM145" s="145"/>
      <c r="AN145" s="145"/>
      <c r="AO145" s="99"/>
      <c r="AP145" s="99"/>
      <c r="AQ145" s="99"/>
      <c r="AU145" s="131"/>
    </row>
    <row r="146" spans="1:47" s="31" customFormat="1" ht="12.75">
      <c r="A146" s="281"/>
      <c r="B146" s="281"/>
      <c r="C146" s="281"/>
      <c r="D146" s="281"/>
      <c r="E146" s="145"/>
      <c r="F146" s="101"/>
      <c r="G146" s="101"/>
      <c r="H146" s="101"/>
      <c r="I146" s="101"/>
      <c r="J146" s="41"/>
      <c r="K146" s="145"/>
      <c r="L146" s="173" t="s">
        <v>408</v>
      </c>
      <c r="M146" s="145"/>
      <c r="N146" s="115"/>
      <c r="O146" s="145"/>
      <c r="P146" s="145"/>
      <c r="Q146" s="145"/>
      <c r="R146" s="145"/>
      <c r="S146" s="145"/>
      <c r="T146" s="145"/>
      <c r="U146" s="145"/>
      <c r="V146" s="145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145"/>
      <c r="AM146" s="145"/>
      <c r="AN146" s="145"/>
      <c r="AO146" s="99"/>
      <c r="AP146" s="99"/>
      <c r="AQ146" s="99"/>
      <c r="AU146" s="131"/>
    </row>
    <row r="147" spans="1:47" s="31" customFormat="1" ht="18" customHeight="1">
      <c r="A147" s="174" t="s">
        <v>410</v>
      </c>
      <c r="B147" s="174"/>
      <c r="C147" s="174"/>
      <c r="D147" s="175"/>
      <c r="E147" s="112" t="s">
        <v>296</v>
      </c>
      <c r="F147" s="113"/>
      <c r="G147" s="113"/>
      <c r="H147" s="113"/>
      <c r="I147" s="113"/>
      <c r="J147" s="114"/>
      <c r="K147" s="115"/>
      <c r="L147" s="173"/>
      <c r="M147" s="115"/>
      <c r="O147" s="115" t="s">
        <v>414</v>
      </c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6"/>
      <c r="AS147" s="116"/>
      <c r="AT147" s="116"/>
      <c r="AU147" s="131"/>
    </row>
    <row r="148" spans="1:47">
      <c r="A148" s="281"/>
      <c r="B148" s="281"/>
      <c r="C148" s="281"/>
      <c r="D148" s="281"/>
      <c r="E148" s="131"/>
      <c r="F148" s="131"/>
      <c r="L148" s="173" t="s">
        <v>409</v>
      </c>
      <c r="AU148" s="131"/>
    </row>
    <row r="149" spans="1:47">
      <c r="A149" s="174" t="s">
        <v>411</v>
      </c>
      <c r="B149" s="174"/>
      <c r="C149" s="174"/>
      <c r="D149" s="175"/>
      <c r="E149" s="131" t="s">
        <v>418</v>
      </c>
      <c r="F149" s="131"/>
      <c r="AU149" s="131"/>
    </row>
    <row r="150" spans="1:47">
      <c r="AU150" s="131"/>
    </row>
    <row r="151" spans="1:47">
      <c r="AU151" s="131"/>
    </row>
    <row r="152" spans="1:47">
      <c r="A152" s="281" t="s">
        <v>412</v>
      </c>
      <c r="B152" s="281"/>
      <c r="C152" s="281"/>
      <c r="D152" s="281"/>
      <c r="AU152" s="131"/>
    </row>
    <row r="153" spans="1:47">
      <c r="A153" s="281" t="s">
        <v>413</v>
      </c>
      <c r="B153" s="281"/>
      <c r="C153" s="281"/>
      <c r="AU153" s="131"/>
    </row>
    <row r="154" spans="1:47">
      <c r="AU154" s="131"/>
    </row>
    <row r="155" spans="1:47">
      <c r="AU155" s="131"/>
    </row>
    <row r="156" spans="1:47">
      <c r="AU156" s="131"/>
    </row>
    <row r="157" spans="1:47">
      <c r="AU157" s="131"/>
    </row>
    <row r="158" spans="1:47">
      <c r="AU158" s="131"/>
    </row>
    <row r="159" spans="1:47">
      <c r="AU159" s="131"/>
    </row>
    <row r="160" spans="1:47">
      <c r="AU160" s="131"/>
    </row>
    <row r="161" spans="47:47">
      <c r="AU161" s="131"/>
    </row>
    <row r="162" spans="47:47">
      <c r="AU162" s="131"/>
    </row>
    <row r="163" spans="47:47">
      <c r="AU163" s="131"/>
    </row>
    <row r="164" spans="47:47">
      <c r="AU164" s="131"/>
    </row>
    <row r="165" spans="47:47">
      <c r="AU165" s="131"/>
    </row>
    <row r="166" spans="47:47">
      <c r="AU166" s="131"/>
    </row>
    <row r="167" spans="47:47">
      <c r="AU167" s="131"/>
    </row>
    <row r="168" spans="47:47">
      <c r="AU168" s="131"/>
    </row>
    <row r="169" spans="47:47">
      <c r="AU169" s="131"/>
    </row>
    <row r="170" spans="47:47">
      <c r="AU170" s="131"/>
    </row>
    <row r="171" spans="47:47">
      <c r="AU171" s="131"/>
    </row>
    <row r="172" spans="47:47">
      <c r="AU172" s="131"/>
    </row>
    <row r="173" spans="47:47">
      <c r="AU173" s="131"/>
    </row>
    <row r="174" spans="47:47">
      <c r="AU174" s="131"/>
    </row>
    <row r="175" spans="47:47">
      <c r="AU175" s="131"/>
    </row>
    <row r="176" spans="47:47">
      <c r="AU176" s="131"/>
    </row>
    <row r="177" spans="47:47">
      <c r="AU177" s="131"/>
    </row>
    <row r="178" spans="47:47">
      <c r="AU178" s="131"/>
    </row>
    <row r="179" spans="47:47">
      <c r="AU179" s="131"/>
    </row>
    <row r="180" spans="47:47">
      <c r="AU180" s="131"/>
    </row>
    <row r="181" spans="47:47">
      <c r="AU181" s="131"/>
    </row>
    <row r="182" spans="47:47">
      <c r="AU182" s="131"/>
    </row>
    <row r="183" spans="47:47">
      <c r="AU183" s="131"/>
    </row>
    <row r="184" spans="47:47">
      <c r="AU184" s="131"/>
    </row>
    <row r="185" spans="47:47">
      <c r="AU185" s="131"/>
    </row>
    <row r="186" spans="47:47">
      <c r="AU186" s="131"/>
    </row>
    <row r="187" spans="47:47">
      <c r="AU187" s="131"/>
    </row>
    <row r="188" spans="47:47">
      <c r="AU188" s="131"/>
    </row>
    <row r="189" spans="47:47">
      <c r="AU189" s="131"/>
    </row>
    <row r="190" spans="47:47">
      <c r="AU190" s="131"/>
    </row>
    <row r="191" spans="47:47">
      <c r="AU191" s="131"/>
    </row>
    <row r="192" spans="47:47">
      <c r="AU192" s="131"/>
    </row>
    <row r="193" spans="47:47">
      <c r="AU193" s="131"/>
    </row>
    <row r="194" spans="47:47">
      <c r="AU194" s="131"/>
    </row>
    <row r="195" spans="47:47">
      <c r="AU195" s="131"/>
    </row>
    <row r="196" spans="47:47">
      <c r="AU196" s="131"/>
    </row>
    <row r="197" spans="47:47">
      <c r="AU197" s="131"/>
    </row>
    <row r="198" spans="47:47">
      <c r="AU198" s="131"/>
    </row>
    <row r="199" spans="47:47">
      <c r="AU199" s="131"/>
    </row>
    <row r="200" spans="47:47">
      <c r="AU200" s="131"/>
    </row>
    <row r="201" spans="47:47">
      <c r="AU201" s="131"/>
    </row>
    <row r="202" spans="47:47">
      <c r="AU202" s="131"/>
    </row>
    <row r="203" spans="47:47">
      <c r="AU203" s="131"/>
    </row>
    <row r="204" spans="47:47">
      <c r="AU204" s="131"/>
    </row>
    <row r="205" spans="47:47">
      <c r="AU205" s="131"/>
    </row>
    <row r="206" spans="47:47">
      <c r="AU206" s="131"/>
    </row>
    <row r="207" spans="47:47">
      <c r="AU207" s="131"/>
    </row>
    <row r="208" spans="47:47">
      <c r="AU208" s="131"/>
    </row>
    <row r="209" spans="47:47">
      <c r="AU209" s="131"/>
    </row>
    <row r="210" spans="47:47">
      <c r="AU210" s="131"/>
    </row>
    <row r="211" spans="47:47">
      <c r="AU211" s="131"/>
    </row>
    <row r="212" spans="47:47">
      <c r="AU212" s="131"/>
    </row>
    <row r="213" spans="47:47">
      <c r="AU213" s="131"/>
    </row>
    <row r="214" spans="47:47">
      <c r="AU214" s="131"/>
    </row>
    <row r="215" spans="47:47">
      <c r="AU215" s="131"/>
    </row>
    <row r="216" spans="47:47">
      <c r="AU216" s="131"/>
    </row>
    <row r="217" spans="47:47">
      <c r="AU217" s="131"/>
    </row>
    <row r="218" spans="47:47">
      <c r="AU218" s="131"/>
    </row>
    <row r="219" spans="47:47">
      <c r="AU219" s="131"/>
    </row>
    <row r="220" spans="47:47">
      <c r="AU220" s="131"/>
    </row>
    <row r="221" spans="47:47">
      <c r="AU221" s="131"/>
    </row>
    <row r="222" spans="47:47">
      <c r="AU222" s="131"/>
    </row>
    <row r="223" spans="47:47">
      <c r="AU223" s="131"/>
    </row>
    <row r="224" spans="47:47">
      <c r="AU224" s="131"/>
    </row>
    <row r="225" spans="47:47">
      <c r="AU225" s="131"/>
    </row>
    <row r="226" spans="47:47">
      <c r="AU226" s="131"/>
    </row>
    <row r="227" spans="47:47">
      <c r="AU227" s="131"/>
    </row>
    <row r="228" spans="47:47">
      <c r="AU228" s="131"/>
    </row>
    <row r="229" spans="47:47">
      <c r="AU229" s="131"/>
    </row>
    <row r="230" spans="47:47">
      <c r="AU230" s="131"/>
    </row>
    <row r="231" spans="47:47">
      <c r="AU231" s="131"/>
    </row>
    <row r="232" spans="47:47">
      <c r="AU232" s="131"/>
    </row>
    <row r="233" spans="47:47">
      <c r="AU233" s="131"/>
    </row>
    <row r="234" spans="47:47">
      <c r="AU234" s="131"/>
    </row>
    <row r="235" spans="47:47">
      <c r="AU235" s="131"/>
    </row>
    <row r="236" spans="47:47">
      <c r="AU236" s="131"/>
    </row>
  </sheetData>
  <mergeCells count="173">
    <mergeCell ref="C96:C99"/>
    <mergeCell ref="D96:D99"/>
    <mergeCell ref="AU96:AU99"/>
    <mergeCell ref="AV96:AV99"/>
    <mergeCell ref="AU117:AU120"/>
    <mergeCell ref="AV117:AV120"/>
    <mergeCell ref="A125:A128"/>
    <mergeCell ref="B125:B128"/>
    <mergeCell ref="C125:C128"/>
    <mergeCell ref="A100:AV100"/>
    <mergeCell ref="A101:AV101"/>
    <mergeCell ref="A102:D105"/>
    <mergeCell ref="A117:D120"/>
    <mergeCell ref="A115:AV115"/>
    <mergeCell ref="A116:AV116"/>
    <mergeCell ref="AU102:AU105"/>
    <mergeCell ref="AV102:AV105"/>
    <mergeCell ref="A111:A114"/>
    <mergeCell ref="B111:B114"/>
    <mergeCell ref="C111:C114"/>
    <mergeCell ref="D111:D114"/>
    <mergeCell ref="AU111:AU114"/>
    <mergeCell ref="B142:F142"/>
    <mergeCell ref="A133:A136"/>
    <mergeCell ref="B133:B136"/>
    <mergeCell ref="C133:C136"/>
    <mergeCell ref="D133:D136"/>
    <mergeCell ref="AU133:AU136"/>
    <mergeCell ref="AV133:AV136"/>
    <mergeCell ref="D125:D128"/>
    <mergeCell ref="AU125:AU128"/>
    <mergeCell ref="AV125:AV128"/>
    <mergeCell ref="A129:A132"/>
    <mergeCell ref="B129:B132"/>
    <mergeCell ref="C129:C132"/>
    <mergeCell ref="D129:D132"/>
    <mergeCell ref="AU129:AU132"/>
    <mergeCell ref="AV129:AV132"/>
    <mergeCell ref="A137:D140"/>
    <mergeCell ref="AU137:AU140"/>
    <mergeCell ref="AV137:AV140"/>
    <mergeCell ref="AV111:AV114"/>
    <mergeCell ref="AV81:AV84"/>
    <mergeCell ref="AV73:AV76"/>
    <mergeCell ref="A77:A80"/>
    <mergeCell ref="B77:B80"/>
    <mergeCell ref="C77:C80"/>
    <mergeCell ref="D77:D80"/>
    <mergeCell ref="AU77:AU80"/>
    <mergeCell ref="AV77:AV80"/>
    <mergeCell ref="AV85:AV88"/>
    <mergeCell ref="A73:A76"/>
    <mergeCell ref="B73:B76"/>
    <mergeCell ref="C73:C76"/>
    <mergeCell ref="D73:D76"/>
    <mergeCell ref="AU73:AU76"/>
    <mergeCell ref="AU85:AU88"/>
    <mergeCell ref="A81:A84"/>
    <mergeCell ref="B81:B84"/>
    <mergeCell ref="C81:C84"/>
    <mergeCell ref="D81:D84"/>
    <mergeCell ref="AU81:AU84"/>
    <mergeCell ref="A85:D88"/>
    <mergeCell ref="A96:A99"/>
    <mergeCell ref="B96:B99"/>
    <mergeCell ref="B53:B56"/>
    <mergeCell ref="C53:C56"/>
    <mergeCell ref="D53:D56"/>
    <mergeCell ref="AU53:AU56"/>
    <mergeCell ref="AV53:AV56"/>
    <mergeCell ref="B69:B72"/>
    <mergeCell ref="A49:A52"/>
    <mergeCell ref="B49:B52"/>
    <mergeCell ref="C49:C52"/>
    <mergeCell ref="D49:D52"/>
    <mergeCell ref="AU49:AU52"/>
    <mergeCell ref="AV49:AV52"/>
    <mergeCell ref="A57:A72"/>
    <mergeCell ref="B57:B60"/>
    <mergeCell ref="C57:C72"/>
    <mergeCell ref="AV57:AV72"/>
    <mergeCell ref="B61:B64"/>
    <mergeCell ref="B65:B68"/>
    <mergeCell ref="D57:D72"/>
    <mergeCell ref="AU57:AU72"/>
    <mergeCell ref="AU45:AU48"/>
    <mergeCell ref="AV45:AV48"/>
    <mergeCell ref="A41:A44"/>
    <mergeCell ref="B41:B44"/>
    <mergeCell ref="C41:C44"/>
    <mergeCell ref="D41:D44"/>
    <mergeCell ref="AU41:AU44"/>
    <mergeCell ref="AV41:AV44"/>
    <mergeCell ref="B45:B48"/>
    <mergeCell ref="C45:C48"/>
    <mergeCell ref="AU29:AU32"/>
    <mergeCell ref="AV29:AV32"/>
    <mergeCell ref="A25:A28"/>
    <mergeCell ref="B25:B28"/>
    <mergeCell ref="C25:C28"/>
    <mergeCell ref="D25:D28"/>
    <mergeCell ref="AU25:AU28"/>
    <mergeCell ref="AV25:AV28"/>
    <mergeCell ref="A37:A40"/>
    <mergeCell ref="B37:B40"/>
    <mergeCell ref="C37:C40"/>
    <mergeCell ref="D37:D40"/>
    <mergeCell ref="AU37:AU40"/>
    <mergeCell ref="AV37:AV40"/>
    <mergeCell ref="A33:A36"/>
    <mergeCell ref="B33:B36"/>
    <mergeCell ref="C33:C36"/>
    <mergeCell ref="D33:D36"/>
    <mergeCell ref="AU33:AU36"/>
    <mergeCell ref="AV33:AV36"/>
    <mergeCell ref="AU21:AU24"/>
    <mergeCell ref="AV21:AV24"/>
    <mergeCell ref="AU5:AU6"/>
    <mergeCell ref="AV5:AV6"/>
    <mergeCell ref="Q5:S5"/>
    <mergeCell ref="T5:V5"/>
    <mergeCell ref="W5:Y5"/>
    <mergeCell ref="Z5:AB5"/>
    <mergeCell ref="AC5:AE5"/>
    <mergeCell ref="AF5:AH5"/>
    <mergeCell ref="AU17:AU20"/>
    <mergeCell ref="AV17:AV20"/>
    <mergeCell ref="AU9:AU12"/>
    <mergeCell ref="AV9:AV12"/>
    <mergeCell ref="AU13:AU16"/>
    <mergeCell ref="AV13:AV16"/>
    <mergeCell ref="A7:AV7"/>
    <mergeCell ref="A8:AV8"/>
    <mergeCell ref="A9:D12"/>
    <mergeCell ref="A13:A16"/>
    <mergeCell ref="A2:AT2"/>
    <mergeCell ref="A3:AT3"/>
    <mergeCell ref="A5:A6"/>
    <mergeCell ref="B5:B6"/>
    <mergeCell ref="C5:C6"/>
    <mergeCell ref="D5:D6"/>
    <mergeCell ref="E5:E6"/>
    <mergeCell ref="F5:J5"/>
    <mergeCell ref="K5:M5"/>
    <mergeCell ref="N5:P5"/>
    <mergeCell ref="AI5:AK5"/>
    <mergeCell ref="AL5:AN5"/>
    <mergeCell ref="AO5:AQ5"/>
    <mergeCell ref="AR5:AT5"/>
    <mergeCell ref="A144:C144"/>
    <mergeCell ref="A145:F145"/>
    <mergeCell ref="A146:D146"/>
    <mergeCell ref="A148:D148"/>
    <mergeCell ref="A152:D152"/>
    <mergeCell ref="A153:C153"/>
    <mergeCell ref="B13:B16"/>
    <mergeCell ref="C13:C16"/>
    <mergeCell ref="D13:D16"/>
    <mergeCell ref="A21:A24"/>
    <mergeCell ref="B21:B24"/>
    <mergeCell ref="C21:C24"/>
    <mergeCell ref="D21:D24"/>
    <mergeCell ref="A17:A20"/>
    <mergeCell ref="B17:B20"/>
    <mergeCell ref="C17:C20"/>
    <mergeCell ref="D17:D20"/>
    <mergeCell ref="A29:A32"/>
    <mergeCell ref="B29:B32"/>
    <mergeCell ref="C29:C32"/>
    <mergeCell ref="D29:D32"/>
    <mergeCell ref="A45:A48"/>
    <mergeCell ref="D45:D48"/>
    <mergeCell ref="A53:A56"/>
  </mergeCells>
  <conditionalFormatting sqref="J147 J125:J136 J61:J84 J102:J105 J14 J19 J23:J24 J27:J32 J35 J37:J59 J96:J99 J111:J114">
    <cfRule type="cellIs" dxfId="0" priority="5" stopIfTrue="1" operator="notEqual">
      <formula>#REF!</formula>
    </cfRule>
  </conditionalFormatting>
  <pageMargins left="0.38" right="0.12" top="0.24" bottom="0.28000000000000003" header="0.26" footer="0.31496062992125984"/>
  <pageSetup paperSize="8" scale="46" fitToHeight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на 01.07.2017</vt:lpstr>
      <vt:lpstr>'Выполнение работ'!Заголовки_для_печати</vt:lpstr>
      <vt:lpstr>'на 01.07.2017'!Заголовки_для_печати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2017-07-14T05:42:31Z</cp:lastPrinted>
  <dcterms:created xsi:type="dcterms:W3CDTF">2011-05-17T05:04:33Z</dcterms:created>
  <dcterms:modified xsi:type="dcterms:W3CDTF">2017-09-06T07:58:49Z</dcterms:modified>
</cp:coreProperties>
</file>